
<file path=[Content_Types].xml><?xml version="1.0" encoding="utf-8"?>
<Types xmlns="http://schemas.openxmlformats.org/package/2006/content-types">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tables/table1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tables/table10.xml" ContentType="application/vnd.openxmlformats-officedocument.spreadsheetml.table+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Default Extension="bin" ContentType="application/vnd.openxmlformats-officedocument.spreadsheetml.printerSettings"/>
  <Override PartName="/xl/tables/table3.xml" ContentType="application/vnd.openxmlformats-officedocument.spreadsheetml.table+xml"/>
  <Override PartName="/xl/drawings/drawing9.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690" yWindow="3690" windowWidth="17310" windowHeight="9810" tabRatio="674" activeTab="5"/>
  </bookViews>
  <sheets>
    <sheet name="Uputstvo" sheetId="11" r:id="rId1"/>
    <sheet name="Osnovni_podaci" sheetId="32" r:id="rId2"/>
    <sheet name="01" sheetId="1" r:id="rId3"/>
    <sheet name="02a" sheetId="2" r:id="rId4"/>
    <sheet name="02b" sheetId="36" r:id="rId5"/>
    <sheet name="03" sheetId="8" r:id="rId6"/>
    <sheet name="04" sheetId="14" r:id="rId7"/>
    <sheet name="05" sheetId="10" r:id="rId8"/>
    <sheet name="Prevod" sheetId="31" state="hidden" r:id="rId9"/>
    <sheet name="Aop" sheetId="34" state="hidden" r:id="rId10"/>
    <sheet name="Podesavanja" sheetId="33" state="hidden" r:id="rId11"/>
    <sheet name="Baza" sheetId="35" state="hidden" r:id="rId12"/>
    <sheet name="BazaBPK" sheetId="37" state="hidden" r:id="rId13"/>
    <sheet name="APIF_Import" sheetId="38" r:id="rId14"/>
  </sheets>
  <definedNames>
    <definedName name="_xlnm._FilterDatabase" localSheetId="2">'01'!$B$20:$O$158</definedName>
    <definedName name="_xlnm._FilterDatabase" localSheetId="3">'02a'!$B$20:$N$144</definedName>
    <definedName name="Datum_Broj">Podesavanja!$H$1</definedName>
    <definedName name="Datum_Format">Podesavanja!$X$1</definedName>
    <definedName name="Datumi_Datum_Aneks">Prevod!$G$57</definedName>
    <definedName name="Datumi_Datum_BPK">Prevod!$G$58</definedName>
    <definedName name="Datumi_Datum_BS">Prevod!$G$53</definedName>
    <definedName name="Datumi_Datum_BTG">Prevod!$G$55</definedName>
    <definedName name="Datumi_Datum_BU">Prevod!$G$54</definedName>
    <definedName name="Datumi_Datum_ODGP">Prevod!$G$56</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Prevod!$G$94</definedName>
    <definedName name="Kontrola_Obavezno">Prevod!$G$93</definedName>
    <definedName name="lice">Osnovni_podaci!$D$45</definedName>
    <definedName name="licenca">Osnovni_podaci!$D$47</definedName>
    <definedName name="Linkovi_Link_Aneks">Prevod!$G$65</definedName>
    <definedName name="Linkovi_Link_BPK">Prevod!$G$66</definedName>
    <definedName name="Linkovi_Link_BS">Prevod!$G$61</definedName>
    <definedName name="Linkovi_Link_BTG">Prevod!$G$64</definedName>
    <definedName name="Linkovi_Link_BU">Prevod!$G$62</definedName>
    <definedName name="Linkovi_Link_ODGP">Prevod!$G$63</definedName>
    <definedName name="Linkovi_Link_Osnovni_podaci">Prevod!$G$60</definedName>
    <definedName name="Linkovi_Link_Uputstvo">Prevod!$G$59</definedName>
    <definedName name="Lookup_Aneks">'04'!$I$21:$K$90</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Prevod!$G$50</definedName>
    <definedName name="Nazivi_bilansa_Aneks1">Prevod!$G$51</definedName>
    <definedName name="Nazivi_bilansa_BPK">Prevod!$G$52</definedName>
    <definedName name="Nazivi_bilansa_BS">Prevod!$G$42</definedName>
    <definedName name="Nazivi_bilansa_BS1">Prevod!$G$43</definedName>
    <definedName name="Nazivi_bilansa_BTG">Prevod!$G$48</definedName>
    <definedName name="Nazivi_bilansa_BTG1">Prevod!$G$49</definedName>
    <definedName name="Nazivi_bilansa_BUa">Prevod!$G$44</definedName>
    <definedName name="Nazivi_bilansa_BUa1">Prevod!$G$45</definedName>
    <definedName name="Nazivi_bilansa_BUb">Prevod!$G$46</definedName>
    <definedName name="Nazivi_bilansa_BUb1">Prevod!$G$47</definedName>
    <definedName name="Nazivi_bilansa_Konsolidovani_naziv">Prevod!$G$41</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Prevod!$G$40</definedName>
    <definedName name="Podnozje_U">Prevod!$G$35</definedName>
    <definedName name="_xlnm.Print_Area" localSheetId="2">'01'!$A$1:$N$166</definedName>
    <definedName name="_xlnm.Print_Area" localSheetId="3">'02a'!$B$5:$L$148</definedName>
    <definedName name="_xlnm.Print_Area" localSheetId="4">'02b'!$C$5:$L$45</definedName>
    <definedName name="_xlnm.Print_Area" localSheetId="5">'03'!$C$5:$M$92</definedName>
    <definedName name="_xlnm.Print_Area" localSheetId="6">'04'!$A$1:$N$94</definedName>
    <definedName name="_xlnm.Print_Area" localSheetId="7">'05'!$D$5:$Q$57</definedName>
    <definedName name="_xlnm.Print_Area" localSheetId="13">APIF_Import!$A$1:$M$445</definedName>
    <definedName name="_xlnm.Print_Area" localSheetId="1">Osnovni_podaci!$B$7:$W$126</definedName>
    <definedName name="_xlnm.Print_Area" localSheetId="0">Uputstvo!$5:$59</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Prevod!$G$96</definedName>
    <definedName name="Revizija_Naziv_revizorske_firme">Prevod!$G$98</definedName>
    <definedName name="Revizija_Negativno">Prevod!$G$101</definedName>
    <definedName name="Revizija_Podaci_o_revizorskoj_firmi">Prevod!$G$97</definedName>
    <definedName name="Revizija_Pozitivno">Prevod!$G$99</definedName>
    <definedName name="Revizija_Revidiran_izvjestaj">Prevod!$G$95</definedName>
    <definedName name="Revizija_Sa_rezervom">Prevod!$G$100</definedName>
    <definedName name="Revizija_Uzdrzavanje">Prevod!$G$102</definedName>
    <definedName name="Tabela_Zaglavlje_Napomena_aop">Prevod!$G$69</definedName>
    <definedName name="Tabele_Tekuca_godina">Prevod!$G$78</definedName>
    <definedName name="Tabele_zaglavlje_BPK0">Prevod!$G$81</definedName>
    <definedName name="Tabele_zaglavlje_BPK1">Prevod!$G$82</definedName>
    <definedName name="Tabele_zaglavlje_BPK10">Prevod!$G$90</definedName>
    <definedName name="Tabele_zaglavlje_BPK11">Prevod!$G$91</definedName>
    <definedName name="Tabele_zaglavlje_BPK12">Prevod!$G$92</definedName>
    <definedName name="Tabele_zaglavlje_BPK3">Prevod!$G$83</definedName>
    <definedName name="Tabele_zaglavlje_BPK4">Prevod!$G$84</definedName>
    <definedName name="Tabele_zaglavlje_BPK5">Prevod!$G$85</definedName>
    <definedName name="Tabele_zaglavlje_BPK6">Prevod!$G$86</definedName>
    <definedName name="Tabele_zaglavlje_BPK7">Prevod!$G$87</definedName>
    <definedName name="Tabele_zaglavlje_BPK8">Prevod!$G$88</definedName>
    <definedName name="Tabele_zaglavlje_BPK9">Prevod!$G$89</definedName>
    <definedName name="Tabele_zaglavlje_BS_bruto">Prevod!$G$73</definedName>
    <definedName name="Tabele_zaglavlje_BS_ispravka">Prevod!$G$74</definedName>
    <definedName name="Tabele_zaglavlje_BS_iznos_prethodna">Prevod!$G$76</definedName>
    <definedName name="Tabele_zaglavlje_BS_iznos_tekuca">Prevod!$G$72</definedName>
    <definedName name="Tabele_zaglavlje_BS_neto">Prevod!$G$75</definedName>
    <definedName name="Tabele_zaglavlje_Grupa_racuna">Prevod!$G$67</definedName>
    <definedName name="Tabele_zaglavlje_Iznos">Prevod!$G$77</definedName>
    <definedName name="Tabele_zaglavlje_Napomena_aop">Prevod!$G$69</definedName>
    <definedName name="Tabele_zaglavlje_Oznaka_aop">Prevod!$G$70</definedName>
    <definedName name="Tabele_zaglavlje_Pozicija">Prevod!$G$68</definedName>
    <definedName name="Tabele_zaglavlje_Prethodna_godina">Prevod!$G$79</definedName>
    <definedName name="Tabele_zaglavlje_Redni_broj">Prevod!$G$71</definedName>
    <definedName name="Tabele_zaglavlje_Tekuca_godina">Prevod!$G$78</definedName>
    <definedName name="Tabele_zaglavlje_Valuta">Prevod!$G$80</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14210" fullCalcOnLoad="1"/>
</workbook>
</file>

<file path=xl/calcChain.xml><?xml version="1.0" encoding="utf-8"?>
<calcChain xmlns="http://schemas.openxmlformats.org/spreadsheetml/2006/main">
  <c r="J59" i="14"/>
  <c r="K27" i="8"/>
  <c r="K26"/>
  <c r="K88"/>
  <c r="G76" i="31"/>
  <c r="N18" i="1"/>
  <c r="H57" i="10"/>
  <c r="H56"/>
  <c r="F92" i="8"/>
  <c r="F94" i="14"/>
  <c r="F93"/>
  <c r="F91" i="8"/>
  <c r="F148" i="2"/>
  <c r="F45" i="36"/>
  <c r="F44"/>
  <c r="F147" i="2"/>
  <c r="F166" i="1"/>
  <c r="F165"/>
  <c r="AB43" i="32"/>
  <c r="D166" i="1"/>
  <c r="G36" i="31"/>
  <c r="C166" i="1"/>
  <c r="AB49" i="32"/>
  <c r="M165" i="1"/>
  <c r="G39" i="31"/>
  <c r="M164" i="1"/>
  <c r="G40" i="31"/>
  <c r="K164" i="1"/>
  <c r="G37" i="31"/>
  <c r="F164" i="1"/>
  <c r="AB40" i="32"/>
  <c r="D164" i="1"/>
  <c r="G35" i="31"/>
  <c r="C164" i="1"/>
  <c r="N49" i="10"/>
  <c r="O50"/>
  <c r="Q50"/>
  <c r="O49"/>
  <c r="Q49"/>
  <c r="O51"/>
  <c r="Q51"/>
  <c r="Q53"/>
  <c r="N22" i="1"/>
  <c r="N21"/>
  <c r="N72"/>
  <c r="N64"/>
  <c r="N56"/>
  <c r="N86"/>
  <c r="M29"/>
  <c r="M30"/>
  <c r="M31"/>
  <c r="M32"/>
  <c r="M33"/>
  <c r="M34"/>
  <c r="M106"/>
  <c r="N28"/>
  <c r="N37"/>
  <c r="N45"/>
  <c r="N50"/>
  <c r="N42"/>
  <c r="N57"/>
  <c r="N73"/>
  <c r="N81"/>
  <c r="N65"/>
  <c r="G93" i="31"/>
  <c r="AA40" i="32"/>
  <c r="Y40"/>
  <c r="E55" i="10"/>
  <c r="D92" i="14"/>
  <c r="N124" i="1"/>
  <c r="M124"/>
  <c r="K65"/>
  <c r="L65"/>
  <c r="M92"/>
  <c r="K22" i="36"/>
  <c r="K48" i="2"/>
  <c r="K47"/>
  <c r="L48"/>
  <c r="L47"/>
  <c r="L22" i="36"/>
  <c r="K133" i="2"/>
  <c r="L101"/>
  <c r="K130"/>
  <c r="A86" i="34"/>
  <c r="E67"/>
  <c r="G85" i="31"/>
  <c r="G84"/>
  <c r="L57" i="1"/>
  <c r="G89" i="31"/>
  <c r="G88"/>
  <c r="G87"/>
  <c r="G86"/>
  <c r="I6"/>
  <c r="G6"/>
  <c r="B51" i="32" a="1"/>
  <c r="B51"/>
  <c r="H6" i="31"/>
  <c r="K73" i="1"/>
  <c r="K72"/>
  <c r="K81"/>
  <c r="K64"/>
  <c r="M139"/>
  <c r="M146"/>
  <c r="N146"/>
  <c r="L22"/>
  <c r="L28"/>
  <c r="L37"/>
  <c r="L45"/>
  <c r="L50"/>
  <c r="L42"/>
  <c r="L21"/>
  <c r="K37"/>
  <c r="L29" i="36"/>
  <c r="K29"/>
  <c r="L38"/>
  <c r="K38"/>
  <c r="L36"/>
  <c r="K36"/>
  <c r="K94" i="2"/>
  <c r="P29" i="10"/>
  <c r="P25"/>
  <c r="K45"/>
  <c r="K45" i="1"/>
  <c r="K50"/>
  <c r="L81"/>
  <c r="L73"/>
  <c r="L72"/>
  <c r="K57"/>
  <c r="K42"/>
  <c r="G69" i="31"/>
  <c r="J89" i="1"/>
  <c r="K56"/>
  <c r="A135" i="34"/>
  <c r="A136"/>
  <c r="A137"/>
  <c r="A138"/>
  <c r="A139"/>
  <c r="B2" i="38"/>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8"/>
  <c r="B429"/>
  <c r="B430"/>
  <c r="B431"/>
  <c r="B432"/>
  <c r="B433"/>
  <c r="B434"/>
  <c r="B435"/>
  <c r="B436"/>
  <c r="B437"/>
  <c r="B438"/>
  <c r="B439"/>
  <c r="B440"/>
  <c r="B441"/>
  <c r="B442"/>
  <c r="B443"/>
  <c r="B444"/>
  <c r="B445"/>
  <c r="B421"/>
  <c r="B422"/>
  <c r="B423"/>
  <c r="B424"/>
  <c r="B425"/>
  <c r="B426"/>
  <c r="B427"/>
  <c r="B420"/>
  <c r="C1" i="33"/>
  <c r="F423" i="35"/>
  <c r="F424"/>
  <c r="F425"/>
  <c r="F426"/>
  <c r="F427"/>
  <c r="F428"/>
  <c r="F429"/>
  <c r="F430"/>
  <c r="F431"/>
  <c r="F432"/>
  <c r="F433"/>
  <c r="F434"/>
  <c r="F435"/>
  <c r="F436"/>
  <c r="F437"/>
  <c r="F438"/>
  <c r="F439"/>
  <c r="F440"/>
  <c r="F441"/>
  <c r="F442"/>
  <c r="F443"/>
  <c r="F444"/>
  <c r="I423"/>
  <c r="I424"/>
  <c r="I425"/>
  <c r="I426"/>
  <c r="I427"/>
  <c r="I428"/>
  <c r="I429"/>
  <c r="I430"/>
  <c r="I431"/>
  <c r="I432"/>
  <c r="I433"/>
  <c r="I434"/>
  <c r="I435"/>
  <c r="I436"/>
  <c r="I437"/>
  <c r="I438"/>
  <c r="I439"/>
  <c r="I440"/>
  <c r="I441"/>
  <c r="I442"/>
  <c r="I443"/>
  <c r="I444"/>
  <c r="F416"/>
  <c r="F417"/>
  <c r="F418"/>
  <c r="F419"/>
  <c r="F420"/>
  <c r="F421"/>
  <c r="F422"/>
  <c r="I416"/>
  <c r="I417"/>
  <c r="I418"/>
  <c r="I419"/>
  <c r="I420"/>
  <c r="I421"/>
  <c r="I422"/>
  <c r="F412"/>
  <c r="F413"/>
  <c r="F414"/>
  <c r="F415"/>
  <c r="I412"/>
  <c r="I413"/>
  <c r="I414"/>
  <c r="I415"/>
  <c r="F411"/>
  <c r="I411"/>
  <c r="F408"/>
  <c r="F409"/>
  <c r="F410"/>
  <c r="I408"/>
  <c r="I409"/>
  <c r="I410"/>
  <c r="F399"/>
  <c r="F400"/>
  <c r="F401"/>
  <c r="F402"/>
  <c r="F403"/>
  <c r="F404"/>
  <c r="F405"/>
  <c r="F406"/>
  <c r="F407"/>
  <c r="I399"/>
  <c r="I400"/>
  <c r="I401"/>
  <c r="I402"/>
  <c r="I403"/>
  <c r="I404"/>
  <c r="I405"/>
  <c r="I406"/>
  <c r="I407"/>
  <c r="F381"/>
  <c r="F382"/>
  <c r="F383"/>
  <c r="F384"/>
  <c r="F385"/>
  <c r="F386"/>
  <c r="F387"/>
  <c r="F388"/>
  <c r="F389"/>
  <c r="F390"/>
  <c r="F391"/>
  <c r="F392"/>
  <c r="F393"/>
  <c r="F394"/>
  <c r="F395"/>
  <c r="F396"/>
  <c r="F397"/>
  <c r="F398"/>
  <c r="I381"/>
  <c r="I382"/>
  <c r="I383"/>
  <c r="I384"/>
  <c r="I385"/>
  <c r="I386"/>
  <c r="I387"/>
  <c r="I388"/>
  <c r="I389"/>
  <c r="I390"/>
  <c r="I391"/>
  <c r="I392"/>
  <c r="I393"/>
  <c r="I394"/>
  <c r="I395"/>
  <c r="I396"/>
  <c r="I397"/>
  <c r="I398"/>
  <c r="F18"/>
  <c r="F19"/>
  <c r="F20"/>
  <c r="F21"/>
  <c r="F22"/>
  <c r="F23"/>
  <c r="F24"/>
  <c r="F25"/>
  <c r="F26"/>
  <c r="F27"/>
  <c r="F28"/>
  <c r="F29"/>
  <c r="F30"/>
  <c r="F31"/>
  <c r="F32"/>
  <c r="F33"/>
  <c r="F34"/>
  <c r="AA14" i="33"/>
  <c r="AA9"/>
  <c r="AA12"/>
  <c r="AA8"/>
  <c r="AA6"/>
  <c r="E33" i="37"/>
  <c r="G33"/>
  <c r="E34"/>
  <c r="G34"/>
  <c r="E30"/>
  <c r="G30"/>
  <c r="E31"/>
  <c r="G31"/>
  <c r="E32"/>
  <c r="G32"/>
  <c r="E25"/>
  <c r="G25"/>
  <c r="E26"/>
  <c r="G26"/>
  <c r="E27"/>
  <c r="G27"/>
  <c r="E28"/>
  <c r="G28"/>
  <c r="E29"/>
  <c r="G29"/>
  <c r="F68" i="35"/>
  <c r="I68"/>
  <c r="I45" i="10"/>
  <c r="J45"/>
  <c r="L45"/>
  <c r="M45"/>
  <c r="N45"/>
  <c r="P45"/>
  <c r="L64" i="8"/>
  <c r="L71"/>
  <c r="K71"/>
  <c r="K64"/>
  <c r="L80"/>
  <c r="K80"/>
  <c r="K79"/>
  <c r="L79"/>
  <c r="K101" i="2"/>
  <c r="L114"/>
  <c r="L106"/>
  <c r="K114"/>
  <c r="L107"/>
  <c r="K107"/>
  <c r="L94"/>
  <c r="L120"/>
  <c r="L119"/>
  <c r="K106"/>
  <c r="K120"/>
  <c r="K119"/>
  <c r="L93"/>
  <c r="K93"/>
  <c r="L133"/>
  <c r="L130"/>
  <c r="L81"/>
  <c r="K81"/>
  <c r="L71"/>
  <c r="K71"/>
  <c r="L64"/>
  <c r="K64"/>
  <c r="K91"/>
  <c r="K92"/>
  <c r="L92"/>
  <c r="L91"/>
  <c r="L59"/>
  <c r="K59"/>
  <c r="L43"/>
  <c r="K43"/>
  <c r="L30"/>
  <c r="K30"/>
  <c r="L26"/>
  <c r="K26"/>
  <c r="K22"/>
  <c r="L22"/>
  <c r="G2" i="31"/>
  <c r="G3"/>
  <c r="B39" i="32"/>
  <c r="G4" i="31"/>
  <c r="G5"/>
  <c r="G7"/>
  <c r="G8"/>
  <c r="G9"/>
  <c r="G10"/>
  <c r="G11"/>
  <c r="G12"/>
  <c r="G13"/>
  <c r="G14"/>
  <c r="G15"/>
  <c r="G16"/>
  <c r="G17"/>
  <c r="G18"/>
  <c r="G19"/>
  <c r="G20"/>
  <c r="G21"/>
  <c r="G22"/>
  <c r="G23"/>
  <c r="G24"/>
  <c r="G25"/>
  <c r="G26"/>
  <c r="G27"/>
  <c r="B15" i="32"/>
  <c r="G28" i="31"/>
  <c r="G29"/>
  <c r="G30"/>
  <c r="G31"/>
  <c r="G32"/>
  <c r="G33"/>
  <c r="G34"/>
  <c r="G38"/>
  <c r="G41"/>
  <c r="G42"/>
  <c r="G43"/>
  <c r="G44"/>
  <c r="G45"/>
  <c r="G46"/>
  <c r="G47"/>
  <c r="G48"/>
  <c r="G49"/>
  <c r="G50"/>
  <c r="G51"/>
  <c r="G52"/>
  <c r="G59"/>
  <c r="G60"/>
  <c r="G61"/>
  <c r="G62"/>
  <c r="G63"/>
  <c r="G64"/>
  <c r="G65"/>
  <c r="G66"/>
  <c r="G67"/>
  <c r="G68"/>
  <c r="G70"/>
  <c r="G71"/>
  <c r="G72"/>
  <c r="G73"/>
  <c r="G74"/>
  <c r="G75"/>
  <c r="G77"/>
  <c r="G78"/>
  <c r="G79"/>
  <c r="G80"/>
  <c r="G81"/>
  <c r="G82"/>
  <c r="G83"/>
  <c r="G90"/>
  <c r="G91"/>
  <c r="G92"/>
  <c r="G94"/>
  <c r="G95"/>
  <c r="G96"/>
  <c r="G97"/>
  <c r="G98"/>
  <c r="G99"/>
  <c r="G100"/>
  <c r="G101"/>
  <c r="G102"/>
  <c r="L125" i="2"/>
  <c r="L39"/>
  <c r="L126"/>
  <c r="F90" i="8"/>
  <c r="F92" i="14"/>
  <c r="H92"/>
  <c r="H90" i="8"/>
  <c r="K90"/>
  <c r="J92" i="14"/>
  <c r="L136" i="2"/>
  <c r="L21"/>
  <c r="K21"/>
  <c r="K125"/>
  <c r="L137"/>
  <c r="L128"/>
  <c r="L127"/>
  <c r="L58"/>
  <c r="L69"/>
  <c r="L70"/>
  <c r="L57"/>
  <c r="N92" i="1"/>
  <c r="M119"/>
  <c r="M115"/>
  <c r="N110"/>
  <c r="M110"/>
  <c r="H45" i="10"/>
  <c r="I29"/>
  <c r="J29"/>
  <c r="K29"/>
  <c r="L29"/>
  <c r="M29"/>
  <c r="N29"/>
  <c r="H29"/>
  <c r="I25"/>
  <c r="I37"/>
  <c r="I41"/>
  <c r="I53"/>
  <c r="J25"/>
  <c r="J37"/>
  <c r="J41"/>
  <c r="J53"/>
  <c r="K25"/>
  <c r="K37"/>
  <c r="K41"/>
  <c r="K53"/>
  <c r="L25"/>
  <c r="L37"/>
  <c r="L41"/>
  <c r="L53"/>
  <c r="M25"/>
  <c r="M37"/>
  <c r="M41"/>
  <c r="M53"/>
  <c r="N25"/>
  <c r="H25"/>
  <c r="H89" i="31"/>
  <c r="I89"/>
  <c r="N37" i="10"/>
  <c r="N41"/>
  <c r="N53"/>
  <c r="H37"/>
  <c r="H41"/>
  <c r="H53"/>
  <c r="M138" i="1"/>
  <c r="Q17" i="10" a="1"/>
  <c r="Q17"/>
  <c r="O43"/>
  <c r="Q43"/>
  <c r="O44"/>
  <c r="O47"/>
  <c r="Q47"/>
  <c r="O48"/>
  <c r="Q48"/>
  <c r="AA27" i="33"/>
  <c r="AA28"/>
  <c r="A455" i="34"/>
  <c r="A449"/>
  <c r="A450"/>
  <c r="A445"/>
  <c r="A443"/>
  <c r="A441"/>
  <c r="A439"/>
  <c r="A433"/>
  <c r="A429"/>
  <c r="A425"/>
  <c r="A423"/>
  <c r="AA25" i="33"/>
  <c r="AA26"/>
  <c r="H88" i="31"/>
  <c r="I88"/>
  <c r="Q44" i="10"/>
  <c r="Q45"/>
  <c r="O45"/>
  <c r="L51" i="8"/>
  <c r="K51"/>
  <c r="L35"/>
  <c r="K35"/>
  <c r="L26"/>
  <c r="L21"/>
  <c r="K21"/>
  <c r="A325" i="34"/>
  <c r="A326"/>
  <c r="A327"/>
  <c r="A328"/>
  <c r="A329"/>
  <c r="A330"/>
  <c r="A331"/>
  <c r="A332"/>
  <c r="A333"/>
  <c r="A334"/>
  <c r="A335"/>
  <c r="A336"/>
  <c r="A337"/>
  <c r="A280"/>
  <c r="L82" i="8"/>
  <c r="K82"/>
  <c r="L81"/>
  <c r="L88"/>
  <c r="L83"/>
  <c r="L84"/>
  <c r="K81"/>
  <c r="K83"/>
  <c r="K84"/>
  <c r="K62"/>
  <c r="K63"/>
  <c r="L63"/>
  <c r="L62"/>
  <c r="L33"/>
  <c r="L34"/>
  <c r="K34"/>
  <c r="K33"/>
  <c r="A295" i="34"/>
  <c r="A296"/>
  <c r="A297"/>
  <c r="A298"/>
  <c r="A299"/>
  <c r="A300"/>
  <c r="A301"/>
  <c r="A302"/>
  <c r="A303"/>
  <c r="A304"/>
  <c r="A305"/>
  <c r="A306"/>
  <c r="A307"/>
  <c r="A308"/>
  <c r="A309"/>
  <c r="A310"/>
  <c r="A311"/>
  <c r="A312"/>
  <c r="A313"/>
  <c r="A314"/>
  <c r="A315"/>
  <c r="A316"/>
  <c r="A317"/>
  <c r="A318"/>
  <c r="A319"/>
  <c r="A320"/>
  <c r="A321"/>
  <c r="A322"/>
  <c r="A323"/>
  <c r="A324"/>
  <c r="A338"/>
  <c r="A339"/>
  <c r="A340"/>
  <c r="A341"/>
  <c r="A342"/>
  <c r="A343"/>
  <c r="A344"/>
  <c r="A345"/>
  <c r="A346"/>
  <c r="A347"/>
  <c r="A348"/>
  <c r="A349"/>
  <c r="A350"/>
  <c r="A351"/>
  <c r="A352"/>
  <c r="A277"/>
  <c r="A278"/>
  <c r="A279"/>
  <c r="A281"/>
  <c r="A282"/>
  <c r="A283"/>
  <c r="A284"/>
  <c r="A285"/>
  <c r="A286"/>
  <c r="A268"/>
  <c r="A269"/>
  <c r="A270"/>
  <c r="A271"/>
  <c r="A272"/>
  <c r="A273"/>
  <c r="A274"/>
  <c r="A275"/>
  <c r="A276"/>
  <c r="A287"/>
  <c r="A288"/>
  <c r="A289"/>
  <c r="A254"/>
  <c r="A255"/>
  <c r="A256"/>
  <c r="A257"/>
  <c r="A258"/>
  <c r="A259"/>
  <c r="A260"/>
  <c r="A261"/>
  <c r="A262"/>
  <c r="A263"/>
  <c r="A264"/>
  <c r="A265"/>
  <c r="A266"/>
  <c r="A267"/>
  <c r="A290"/>
  <c r="A291"/>
  <c r="A252"/>
  <c r="A253"/>
  <c r="A292"/>
  <c r="A293"/>
  <c r="A294"/>
  <c r="A242"/>
  <c r="A243"/>
  <c r="A244"/>
  <c r="A245"/>
  <c r="A246"/>
  <c r="A247"/>
  <c r="A248"/>
  <c r="A249"/>
  <c r="A250"/>
  <c r="A251"/>
  <c r="N139" i="1"/>
  <c r="N138"/>
  <c r="N128"/>
  <c r="N119"/>
  <c r="N115"/>
  <c r="N106"/>
  <c r="M101"/>
  <c r="N94"/>
  <c r="N93"/>
  <c r="M94"/>
  <c r="M93"/>
  <c r="N101"/>
  <c r="N123"/>
  <c r="N161"/>
  <c r="K22"/>
  <c r="K28"/>
  <c r="K21"/>
  <c r="K86"/>
  <c r="L64"/>
  <c r="M37"/>
  <c r="M45"/>
  <c r="M73"/>
  <c r="M65"/>
  <c r="M50"/>
  <c r="M64"/>
  <c r="L56"/>
  <c r="I69" i="31"/>
  <c r="J18" i="8"/>
  <c r="H69" i="31"/>
  <c r="M22" i="1"/>
  <c r="J18" a="1"/>
  <c r="J18"/>
  <c r="J18" i="36"/>
  <c r="J18" i="2"/>
  <c r="E24" i="37"/>
  <c r="G24"/>
  <c r="E35"/>
  <c r="G35"/>
  <c r="AA3" i="33"/>
  <c r="AA4"/>
  <c r="AA5"/>
  <c r="AA7"/>
  <c r="AA10"/>
  <c r="AA11"/>
  <c r="AA13"/>
  <c r="AA15"/>
  <c r="AA16"/>
  <c r="AA17"/>
  <c r="AA18"/>
  <c r="AA19"/>
  <c r="AA20"/>
  <c r="AA21"/>
  <c r="AA22"/>
  <c r="AA23"/>
  <c r="AA24"/>
  <c r="F69" i="38"/>
  <c r="G69"/>
  <c r="I405"/>
  <c r="M405"/>
  <c r="L406"/>
  <c r="K407"/>
  <c r="J408"/>
  <c r="I409"/>
  <c r="M409"/>
  <c r="L410"/>
  <c r="K411"/>
  <c r="J412"/>
  <c r="I413"/>
  <c r="M413"/>
  <c r="L414"/>
  <c r="K415"/>
  <c r="J416"/>
  <c r="I417"/>
  <c r="M417"/>
  <c r="L418"/>
  <c r="K419"/>
  <c r="J420"/>
  <c r="I13"/>
  <c r="M13"/>
  <c r="L14"/>
  <c r="K15"/>
  <c r="J16"/>
  <c r="I17"/>
  <c r="M17"/>
  <c r="L18"/>
  <c r="K19"/>
  <c r="J20"/>
  <c r="I21"/>
  <c r="M21"/>
  <c r="L22"/>
  <c r="K23"/>
  <c r="J24"/>
  <c r="I25"/>
  <c r="M25"/>
  <c r="L26"/>
  <c r="K27"/>
  <c r="J28"/>
  <c r="I29"/>
  <c r="M29"/>
  <c r="L30"/>
  <c r="K31"/>
  <c r="J32"/>
  <c r="I33"/>
  <c r="M33"/>
  <c r="L34"/>
  <c r="K35"/>
  <c r="J36"/>
  <c r="I37"/>
  <c r="M37"/>
  <c r="L38"/>
  <c r="K39"/>
  <c r="J40"/>
  <c r="I41"/>
  <c r="M41"/>
  <c r="L42"/>
  <c r="K43"/>
  <c r="J44"/>
  <c r="I45"/>
  <c r="M45"/>
  <c r="L46"/>
  <c r="K47"/>
  <c r="J48"/>
  <c r="I49"/>
  <c r="M49"/>
  <c r="L50"/>
  <c r="K51"/>
  <c r="J52"/>
  <c r="I53"/>
  <c r="M53"/>
  <c r="L54"/>
  <c r="K55"/>
  <c r="J56"/>
  <c r="I57"/>
  <c r="M57"/>
  <c r="L58"/>
  <c r="K59"/>
  <c r="J60"/>
  <c r="I61"/>
  <c r="M61"/>
  <c r="L62"/>
  <c r="K63"/>
  <c r="J64"/>
  <c r="J405"/>
  <c r="I406"/>
  <c r="M406"/>
  <c r="L407"/>
  <c r="K408"/>
  <c r="J409"/>
  <c r="I410"/>
  <c r="M410"/>
  <c r="L411"/>
  <c r="K412"/>
  <c r="J413"/>
  <c r="I414"/>
  <c r="M414"/>
  <c r="L415"/>
  <c r="K416"/>
  <c r="J417"/>
  <c r="I418"/>
  <c r="M418"/>
  <c r="L419"/>
  <c r="K420"/>
  <c r="J13"/>
  <c r="I14"/>
  <c r="M14"/>
  <c r="L15"/>
  <c r="K16"/>
  <c r="J17"/>
  <c r="I18"/>
  <c r="M18"/>
  <c r="L19"/>
  <c r="K20"/>
  <c r="J21"/>
  <c r="I22"/>
  <c r="M22"/>
  <c r="L23"/>
  <c r="K24"/>
  <c r="J25"/>
  <c r="I26"/>
  <c r="M26"/>
  <c r="L27"/>
  <c r="K28"/>
  <c r="J29"/>
  <c r="I30"/>
  <c r="M30"/>
  <c r="L31"/>
  <c r="K32"/>
  <c r="J33"/>
  <c r="I34"/>
  <c r="M34"/>
  <c r="L35"/>
  <c r="K36"/>
  <c r="J37"/>
  <c r="I38"/>
  <c r="M38"/>
  <c r="L39"/>
  <c r="K40"/>
  <c r="J41"/>
  <c r="I42"/>
  <c r="M42"/>
  <c r="L43"/>
  <c r="K44"/>
  <c r="J45"/>
  <c r="I46"/>
  <c r="M46"/>
  <c r="L47"/>
  <c r="K48"/>
  <c r="J49"/>
  <c r="I50"/>
  <c r="M50"/>
  <c r="L51"/>
  <c r="K52"/>
  <c r="J53"/>
  <c r="I54"/>
  <c r="M54"/>
  <c r="L55"/>
  <c r="K56"/>
  <c r="J57"/>
  <c r="I58"/>
  <c r="M58"/>
  <c r="L59"/>
  <c r="K60"/>
  <c r="J61"/>
  <c r="I62"/>
  <c r="M62"/>
  <c r="L63"/>
  <c r="K64"/>
  <c r="K405"/>
  <c r="J406"/>
  <c r="I407"/>
  <c r="M407"/>
  <c r="L408"/>
  <c r="K409"/>
  <c r="J410"/>
  <c r="I411"/>
  <c r="M411"/>
  <c r="L412"/>
  <c r="K413"/>
  <c r="J414"/>
  <c r="I415"/>
  <c r="M415"/>
  <c r="L416"/>
  <c r="K417"/>
  <c r="J418"/>
  <c r="I419"/>
  <c r="M419"/>
  <c r="L420"/>
  <c r="K13"/>
  <c r="J14"/>
  <c r="I15"/>
  <c r="M15"/>
  <c r="L16"/>
  <c r="K17"/>
  <c r="J18"/>
  <c r="I19"/>
  <c r="M19"/>
  <c r="L20"/>
  <c r="K21"/>
  <c r="J22"/>
  <c r="I23"/>
  <c r="M23"/>
  <c r="L24"/>
  <c r="K25"/>
  <c r="J26"/>
  <c r="I27"/>
  <c r="M27"/>
  <c r="L28"/>
  <c r="K29"/>
  <c r="J30"/>
  <c r="I31"/>
  <c r="M31"/>
  <c r="L32"/>
  <c r="K33"/>
  <c r="J34"/>
  <c r="I35"/>
  <c r="M35"/>
  <c r="L36"/>
  <c r="K37"/>
  <c r="J38"/>
  <c r="I39"/>
  <c r="M39"/>
  <c r="L40"/>
  <c r="K41"/>
  <c r="J42"/>
  <c r="I43"/>
  <c r="M43"/>
  <c r="L44"/>
  <c r="K45"/>
  <c r="J46"/>
  <c r="I47"/>
  <c r="M47"/>
  <c r="L48"/>
  <c r="K49"/>
  <c r="J50"/>
  <c r="I51"/>
  <c r="M51"/>
  <c r="L52"/>
  <c r="K53"/>
  <c r="J54"/>
  <c r="I55"/>
  <c r="M55"/>
  <c r="L56"/>
  <c r="K57"/>
  <c r="J58"/>
  <c r="I59"/>
  <c r="M59"/>
  <c r="L60"/>
  <c r="K61"/>
  <c r="J62"/>
  <c r="I63"/>
  <c r="M63"/>
  <c r="L64"/>
  <c r="L405"/>
  <c r="M408"/>
  <c r="I412"/>
  <c r="J415"/>
  <c r="K418"/>
  <c r="L13"/>
  <c r="M16"/>
  <c r="I20"/>
  <c r="J23"/>
  <c r="K26"/>
  <c r="L29"/>
  <c r="M32"/>
  <c r="I36"/>
  <c r="J39"/>
  <c r="K42"/>
  <c r="L45"/>
  <c r="M48"/>
  <c r="I52"/>
  <c r="J55"/>
  <c r="K58"/>
  <c r="L61"/>
  <c r="M64"/>
  <c r="L65"/>
  <c r="K66"/>
  <c r="J67"/>
  <c r="I68"/>
  <c r="M68"/>
  <c r="L69"/>
  <c r="K70"/>
  <c r="J71"/>
  <c r="I72"/>
  <c r="M72"/>
  <c r="L73"/>
  <c r="K74"/>
  <c r="J75"/>
  <c r="I76"/>
  <c r="M76"/>
  <c r="L77"/>
  <c r="K78"/>
  <c r="J79"/>
  <c r="I80"/>
  <c r="M80"/>
  <c r="L81"/>
  <c r="K82"/>
  <c r="J83"/>
  <c r="I84"/>
  <c r="M84"/>
  <c r="L85"/>
  <c r="K86"/>
  <c r="J87"/>
  <c r="I88"/>
  <c r="M88"/>
  <c r="L89"/>
  <c r="K90"/>
  <c r="J91"/>
  <c r="I92"/>
  <c r="M92"/>
  <c r="L93"/>
  <c r="K94"/>
  <c r="J95"/>
  <c r="I96"/>
  <c r="M96"/>
  <c r="L97"/>
  <c r="K98"/>
  <c r="J99"/>
  <c r="I100"/>
  <c r="M100"/>
  <c r="L101"/>
  <c r="K102"/>
  <c r="J103"/>
  <c r="I104"/>
  <c r="M104"/>
  <c r="L105"/>
  <c r="K106"/>
  <c r="J107"/>
  <c r="I108"/>
  <c r="M108"/>
  <c r="L109"/>
  <c r="K110"/>
  <c r="J111"/>
  <c r="I112"/>
  <c r="M112"/>
  <c r="L113"/>
  <c r="K114"/>
  <c r="J115"/>
  <c r="K406"/>
  <c r="L409"/>
  <c r="M412"/>
  <c r="I416"/>
  <c r="J419"/>
  <c r="K14"/>
  <c r="L17"/>
  <c r="M20"/>
  <c r="I24"/>
  <c r="J27"/>
  <c r="K30"/>
  <c r="L33"/>
  <c r="M36"/>
  <c r="I40"/>
  <c r="J43"/>
  <c r="K46"/>
  <c r="L49"/>
  <c r="M52"/>
  <c r="I56"/>
  <c r="J59"/>
  <c r="K62"/>
  <c r="I65"/>
  <c r="M65"/>
  <c r="L66"/>
  <c r="K67"/>
  <c r="J68"/>
  <c r="I69"/>
  <c r="M69"/>
  <c r="L70"/>
  <c r="K71"/>
  <c r="J72"/>
  <c r="I73"/>
  <c r="M73"/>
  <c r="L74"/>
  <c r="K75"/>
  <c r="J76"/>
  <c r="I77"/>
  <c r="M77"/>
  <c r="L78"/>
  <c r="K79"/>
  <c r="J80"/>
  <c r="I81"/>
  <c r="M81"/>
  <c r="L82"/>
  <c r="K83"/>
  <c r="J84"/>
  <c r="I85"/>
  <c r="M85"/>
  <c r="L86"/>
  <c r="K87"/>
  <c r="J88"/>
  <c r="I89"/>
  <c r="M89"/>
  <c r="L90"/>
  <c r="K91"/>
  <c r="J92"/>
  <c r="I93"/>
  <c r="M93"/>
  <c r="L94"/>
  <c r="K95"/>
  <c r="J96"/>
  <c r="I97"/>
  <c r="M97"/>
  <c r="L98"/>
  <c r="K99"/>
  <c r="J100"/>
  <c r="I101"/>
  <c r="M101"/>
  <c r="L102"/>
  <c r="K103"/>
  <c r="J104"/>
  <c r="I105"/>
  <c r="M105"/>
  <c r="L106"/>
  <c r="K107"/>
  <c r="J108"/>
  <c r="I109"/>
  <c r="M109"/>
  <c r="L110"/>
  <c r="K111"/>
  <c r="J112"/>
  <c r="I113"/>
  <c r="M113"/>
  <c r="L114"/>
  <c r="K115"/>
  <c r="J116"/>
  <c r="J407"/>
  <c r="K410"/>
  <c r="L413"/>
  <c r="M416"/>
  <c r="I420"/>
  <c r="J15"/>
  <c r="K18"/>
  <c r="L21"/>
  <c r="M24"/>
  <c r="I28"/>
  <c r="J31"/>
  <c r="K34"/>
  <c r="L37"/>
  <c r="M40"/>
  <c r="I44"/>
  <c r="J47"/>
  <c r="K50"/>
  <c r="L53"/>
  <c r="M56"/>
  <c r="I60"/>
  <c r="J63"/>
  <c r="J65"/>
  <c r="I66"/>
  <c r="M66"/>
  <c r="L67"/>
  <c r="K68"/>
  <c r="J69"/>
  <c r="I70"/>
  <c r="M70"/>
  <c r="L71"/>
  <c r="K72"/>
  <c r="J73"/>
  <c r="I74"/>
  <c r="M74"/>
  <c r="L75"/>
  <c r="K76"/>
  <c r="J77"/>
  <c r="I78"/>
  <c r="M78"/>
  <c r="L79"/>
  <c r="K80"/>
  <c r="J81"/>
  <c r="I82"/>
  <c r="M82"/>
  <c r="L83"/>
  <c r="K84"/>
  <c r="J85"/>
  <c r="I86"/>
  <c r="M86"/>
  <c r="L87"/>
  <c r="K88"/>
  <c r="J89"/>
  <c r="I90"/>
  <c r="M90"/>
  <c r="L91"/>
  <c r="K92"/>
  <c r="J93"/>
  <c r="I94"/>
  <c r="M94"/>
  <c r="L95"/>
  <c r="K96"/>
  <c r="J97"/>
  <c r="I98"/>
  <c r="M98"/>
  <c r="L99"/>
  <c r="K100"/>
  <c r="J101"/>
  <c r="I102"/>
  <c r="M102"/>
  <c r="L103"/>
  <c r="K104"/>
  <c r="J105"/>
  <c r="I106"/>
  <c r="M106"/>
  <c r="L107"/>
  <c r="K108"/>
  <c r="J109"/>
  <c r="I110"/>
  <c r="M110"/>
  <c r="L111"/>
  <c r="K112"/>
  <c r="J113"/>
  <c r="I114"/>
  <c r="M114"/>
  <c r="L115"/>
  <c r="K116"/>
  <c r="I408"/>
  <c r="M420"/>
  <c r="L25"/>
  <c r="K38"/>
  <c r="J51"/>
  <c r="I64"/>
  <c r="M67"/>
  <c r="I71"/>
  <c r="J74"/>
  <c r="K77"/>
  <c r="L80"/>
  <c r="M83"/>
  <c r="I87"/>
  <c r="J90"/>
  <c r="K93"/>
  <c r="L96"/>
  <c r="M99"/>
  <c r="I103"/>
  <c r="J106"/>
  <c r="K109"/>
  <c r="L112"/>
  <c r="M115"/>
  <c r="I117"/>
  <c r="M117"/>
  <c r="L118"/>
  <c r="K119"/>
  <c r="J120"/>
  <c r="I121"/>
  <c r="M121"/>
  <c r="L122"/>
  <c r="K123"/>
  <c r="J124"/>
  <c r="I125"/>
  <c r="M125"/>
  <c r="L126"/>
  <c r="K127"/>
  <c r="J128"/>
  <c r="I129"/>
  <c r="M129"/>
  <c r="L130"/>
  <c r="K131"/>
  <c r="J132"/>
  <c r="I133"/>
  <c r="M133"/>
  <c r="L134"/>
  <c r="K135"/>
  <c r="J136"/>
  <c r="I137"/>
  <c r="M137"/>
  <c r="L138"/>
  <c r="K139"/>
  <c r="J140"/>
  <c r="I141"/>
  <c r="M141"/>
  <c r="L142"/>
  <c r="K143"/>
  <c r="J144"/>
  <c r="I145"/>
  <c r="M145"/>
  <c r="L146"/>
  <c r="K147"/>
  <c r="J148"/>
  <c r="I149"/>
  <c r="M149"/>
  <c r="L150"/>
  <c r="K151"/>
  <c r="J152"/>
  <c r="I153"/>
  <c r="M153"/>
  <c r="L154"/>
  <c r="K155"/>
  <c r="J156"/>
  <c r="I157"/>
  <c r="M157"/>
  <c r="L158"/>
  <c r="K159"/>
  <c r="J160"/>
  <c r="I161"/>
  <c r="M161"/>
  <c r="L162"/>
  <c r="K163"/>
  <c r="J164"/>
  <c r="I165"/>
  <c r="M165"/>
  <c r="L166"/>
  <c r="K167"/>
  <c r="J168"/>
  <c r="I169"/>
  <c r="M169"/>
  <c r="L170"/>
  <c r="K171"/>
  <c r="J172"/>
  <c r="I173"/>
  <c r="M173"/>
  <c r="L174"/>
  <c r="K175"/>
  <c r="J176"/>
  <c r="I177"/>
  <c r="M177"/>
  <c r="L178"/>
  <c r="K179"/>
  <c r="J180"/>
  <c r="I181"/>
  <c r="M181"/>
  <c r="L182"/>
  <c r="K183"/>
  <c r="J184"/>
  <c r="I185"/>
  <c r="M185"/>
  <c r="L186"/>
  <c r="K187"/>
  <c r="J188"/>
  <c r="I189"/>
  <c r="M189"/>
  <c r="L190"/>
  <c r="K191"/>
  <c r="J192"/>
  <c r="I193"/>
  <c r="M193"/>
  <c r="L194"/>
  <c r="K195"/>
  <c r="J196"/>
  <c r="I197"/>
  <c r="M197"/>
  <c r="L198"/>
  <c r="K199"/>
  <c r="J200"/>
  <c r="I201"/>
  <c r="M201"/>
  <c r="L202"/>
  <c r="K203"/>
  <c r="J204"/>
  <c r="I205"/>
  <c r="M205"/>
  <c r="L206"/>
  <c r="K207"/>
  <c r="J208"/>
  <c r="I209"/>
  <c r="M209"/>
  <c r="L210"/>
  <c r="K211"/>
  <c r="J212"/>
  <c r="I213"/>
  <c r="M213"/>
  <c r="L214"/>
  <c r="K215"/>
  <c r="J216"/>
  <c r="I217"/>
  <c r="M217"/>
  <c r="L218"/>
  <c r="K219"/>
  <c r="J220"/>
  <c r="I221"/>
  <c r="M221"/>
  <c r="L222"/>
  <c r="K223"/>
  <c r="J224"/>
  <c r="I225"/>
  <c r="M225"/>
  <c r="L226"/>
  <c r="K227"/>
  <c r="J228"/>
  <c r="I229"/>
  <c r="M229"/>
  <c r="L230"/>
  <c r="K231"/>
  <c r="J411"/>
  <c r="I16"/>
  <c r="M28"/>
  <c r="L41"/>
  <c r="K54"/>
  <c r="K65"/>
  <c r="L68"/>
  <c r="M71"/>
  <c r="I75"/>
  <c r="J78"/>
  <c r="K81"/>
  <c r="L84"/>
  <c r="M87"/>
  <c r="I91"/>
  <c r="J94"/>
  <c r="K97"/>
  <c r="L100"/>
  <c r="M103"/>
  <c r="I107"/>
  <c r="J110"/>
  <c r="K113"/>
  <c r="I116"/>
  <c r="J117"/>
  <c r="I118"/>
  <c r="M118"/>
  <c r="L119"/>
  <c r="K120"/>
  <c r="J121"/>
  <c r="I122"/>
  <c r="M122"/>
  <c r="L123"/>
  <c r="K124"/>
  <c r="J125"/>
  <c r="I126"/>
  <c r="M126"/>
  <c r="L127"/>
  <c r="K128"/>
  <c r="J129"/>
  <c r="I130"/>
  <c r="M130"/>
  <c r="L131"/>
  <c r="K132"/>
  <c r="J133"/>
  <c r="I134"/>
  <c r="M134"/>
  <c r="L135"/>
  <c r="K136"/>
  <c r="J137"/>
  <c r="I138"/>
  <c r="M138"/>
  <c r="L139"/>
  <c r="K140"/>
  <c r="J141"/>
  <c r="I142"/>
  <c r="M142"/>
  <c r="L143"/>
  <c r="K144"/>
  <c r="J145"/>
  <c r="I146"/>
  <c r="M146"/>
  <c r="L147"/>
  <c r="K148"/>
  <c r="J149"/>
  <c r="I150"/>
  <c r="M150"/>
  <c r="L151"/>
  <c r="K152"/>
  <c r="J153"/>
  <c r="I154"/>
  <c r="M154"/>
  <c r="L155"/>
  <c r="K156"/>
  <c r="J157"/>
  <c r="I158"/>
  <c r="M158"/>
  <c r="L159"/>
  <c r="K160"/>
  <c r="J161"/>
  <c r="I162"/>
  <c r="M162"/>
  <c r="L163"/>
  <c r="K164"/>
  <c r="J165"/>
  <c r="I166"/>
  <c r="M166"/>
  <c r="L167"/>
  <c r="K168"/>
  <c r="J169"/>
  <c r="I170"/>
  <c r="M170"/>
  <c r="L171"/>
  <c r="K172"/>
  <c r="J173"/>
  <c r="I174"/>
  <c r="M174"/>
  <c r="L175"/>
  <c r="K176"/>
  <c r="J177"/>
  <c r="I178"/>
  <c r="M178"/>
  <c r="L179"/>
  <c r="K180"/>
  <c r="J181"/>
  <c r="I182"/>
  <c r="M182"/>
  <c r="L183"/>
  <c r="K184"/>
  <c r="J185"/>
  <c r="I186"/>
  <c r="M186"/>
  <c r="L187"/>
  <c r="K188"/>
  <c r="J189"/>
  <c r="I190"/>
  <c r="M190"/>
  <c r="L191"/>
  <c r="K192"/>
  <c r="J193"/>
  <c r="I194"/>
  <c r="M194"/>
  <c r="L195"/>
  <c r="K196"/>
  <c r="J197"/>
  <c r="I198"/>
  <c r="M198"/>
  <c r="L199"/>
  <c r="K200"/>
  <c r="J201"/>
  <c r="I202"/>
  <c r="M202"/>
  <c r="L203"/>
  <c r="K204"/>
  <c r="J205"/>
  <c r="I206"/>
  <c r="M206"/>
  <c r="L207"/>
  <c r="K208"/>
  <c r="J209"/>
  <c r="I210"/>
  <c r="M210"/>
  <c r="L211"/>
  <c r="K212"/>
  <c r="J213"/>
  <c r="I214"/>
  <c r="M214"/>
  <c r="L215"/>
  <c r="K216"/>
  <c r="J217"/>
  <c r="I218"/>
  <c r="M218"/>
  <c r="L219"/>
  <c r="K220"/>
  <c r="J221"/>
  <c r="I222"/>
  <c r="M222"/>
  <c r="L223"/>
  <c r="K224"/>
  <c r="J225"/>
  <c r="I226"/>
  <c r="M226"/>
  <c r="L227"/>
  <c r="K228"/>
  <c r="J229"/>
  <c r="I230"/>
  <c r="M230"/>
  <c r="L231"/>
  <c r="K232"/>
  <c r="J233"/>
  <c r="I234"/>
  <c r="M234"/>
  <c r="K414"/>
  <c r="J19"/>
  <c r="I32"/>
  <c r="M44"/>
  <c r="L57"/>
  <c r="J66"/>
  <c r="K69"/>
  <c r="L72"/>
  <c r="M75"/>
  <c r="I79"/>
  <c r="J82"/>
  <c r="K85"/>
  <c r="L88"/>
  <c r="M91"/>
  <c r="I95"/>
  <c r="J98"/>
  <c r="K101"/>
  <c r="L104"/>
  <c r="M107"/>
  <c r="I111"/>
  <c r="J114"/>
  <c r="L116"/>
  <c r="K117"/>
  <c r="J118"/>
  <c r="I119"/>
  <c r="M119"/>
  <c r="L120"/>
  <c r="K121"/>
  <c r="J122"/>
  <c r="I123"/>
  <c r="M123"/>
  <c r="L124"/>
  <c r="K125"/>
  <c r="J126"/>
  <c r="I127"/>
  <c r="M127"/>
  <c r="L128"/>
  <c r="K129"/>
  <c r="J130"/>
  <c r="I131"/>
  <c r="M131"/>
  <c r="L132"/>
  <c r="K133"/>
  <c r="J134"/>
  <c r="I135"/>
  <c r="M135"/>
  <c r="L136"/>
  <c r="K137"/>
  <c r="J138"/>
  <c r="I139"/>
  <c r="M139"/>
  <c r="L140"/>
  <c r="K141"/>
  <c r="J142"/>
  <c r="I143"/>
  <c r="M143"/>
  <c r="L144"/>
  <c r="K145"/>
  <c r="J146"/>
  <c r="I147"/>
  <c r="M147"/>
  <c r="L148"/>
  <c r="K149"/>
  <c r="J150"/>
  <c r="I151"/>
  <c r="M151"/>
  <c r="L152"/>
  <c r="K153"/>
  <c r="J154"/>
  <c r="I155"/>
  <c r="M155"/>
  <c r="L156"/>
  <c r="K157"/>
  <c r="J158"/>
  <c r="I159"/>
  <c r="M159"/>
  <c r="L160"/>
  <c r="K161"/>
  <c r="J162"/>
  <c r="I163"/>
  <c r="M163"/>
  <c r="L164"/>
  <c r="K165"/>
  <c r="J166"/>
  <c r="I167"/>
  <c r="M167"/>
  <c r="L168"/>
  <c r="K169"/>
  <c r="J170"/>
  <c r="I171"/>
  <c r="M171"/>
  <c r="L172"/>
  <c r="K173"/>
  <c r="J174"/>
  <c r="I175"/>
  <c r="M175"/>
  <c r="L176"/>
  <c r="K177"/>
  <c r="J178"/>
  <c r="I179"/>
  <c r="M179"/>
  <c r="L180"/>
  <c r="K181"/>
  <c r="J182"/>
  <c r="I183"/>
  <c r="M183"/>
  <c r="L184"/>
  <c r="K185"/>
  <c r="J186"/>
  <c r="I187"/>
  <c r="M187"/>
  <c r="L188"/>
  <c r="K189"/>
  <c r="J190"/>
  <c r="I191"/>
  <c r="M191"/>
  <c r="L192"/>
  <c r="K193"/>
  <c r="J194"/>
  <c r="I195"/>
  <c r="M195"/>
  <c r="L196"/>
  <c r="K197"/>
  <c r="J198"/>
  <c r="I199"/>
  <c r="M199"/>
  <c r="L200"/>
  <c r="K201"/>
  <c r="J202"/>
  <c r="I203"/>
  <c r="M203"/>
  <c r="L204"/>
  <c r="K205"/>
  <c r="J206"/>
  <c r="I207"/>
  <c r="M207"/>
  <c r="L208"/>
  <c r="K209"/>
  <c r="J210"/>
  <c r="I211"/>
  <c r="M211"/>
  <c r="L212"/>
  <c r="K213"/>
  <c r="J214"/>
  <c r="I215"/>
  <c r="M215"/>
  <c r="L216"/>
  <c r="K217"/>
  <c r="J218"/>
  <c r="I219"/>
  <c r="M219"/>
  <c r="L220"/>
  <c r="K221"/>
  <c r="J222"/>
  <c r="I223"/>
  <c r="M223"/>
  <c r="L224"/>
  <c r="K225"/>
  <c r="J226"/>
  <c r="I227"/>
  <c r="M227"/>
  <c r="L228"/>
  <c r="K229"/>
  <c r="J230"/>
  <c r="I231"/>
  <c r="M231"/>
  <c r="L232"/>
  <c r="K233"/>
  <c r="J234"/>
  <c r="I235"/>
  <c r="L417"/>
  <c r="M60"/>
  <c r="L76"/>
  <c r="K89"/>
  <c r="J102"/>
  <c r="I115"/>
  <c r="J119"/>
  <c r="K122"/>
  <c r="L125"/>
  <c r="M128"/>
  <c r="I132"/>
  <c r="J135"/>
  <c r="K138"/>
  <c r="L141"/>
  <c r="M144"/>
  <c r="I148"/>
  <c r="J151"/>
  <c r="K154"/>
  <c r="L157"/>
  <c r="M160"/>
  <c r="I164"/>
  <c r="J167"/>
  <c r="K170"/>
  <c r="L173"/>
  <c r="M176"/>
  <c r="I180"/>
  <c r="J183"/>
  <c r="K186"/>
  <c r="L189"/>
  <c r="M192"/>
  <c r="I196"/>
  <c r="J199"/>
  <c r="K202"/>
  <c r="L205"/>
  <c r="M208"/>
  <c r="I212"/>
  <c r="J215"/>
  <c r="K218"/>
  <c r="L221"/>
  <c r="M224"/>
  <c r="I228"/>
  <c r="J231"/>
  <c r="I233"/>
  <c r="L234"/>
  <c r="M235"/>
  <c r="L236"/>
  <c r="K237"/>
  <c r="J238"/>
  <c r="I239"/>
  <c r="M239"/>
  <c r="L240"/>
  <c r="K241"/>
  <c r="J242"/>
  <c r="I243"/>
  <c r="M243"/>
  <c r="L244"/>
  <c r="K245"/>
  <c r="J246"/>
  <c r="I247"/>
  <c r="M247"/>
  <c r="L248"/>
  <c r="K249"/>
  <c r="J250"/>
  <c r="I251"/>
  <c r="M251"/>
  <c r="L252"/>
  <c r="K253"/>
  <c r="J254"/>
  <c r="I255"/>
  <c r="M255"/>
  <c r="L256"/>
  <c r="K257"/>
  <c r="J258"/>
  <c r="I259"/>
  <c r="M259"/>
  <c r="L260"/>
  <c r="K261"/>
  <c r="J262"/>
  <c r="I263"/>
  <c r="M263"/>
  <c r="L264"/>
  <c r="K265"/>
  <c r="J266"/>
  <c r="I267"/>
  <c r="M267"/>
  <c r="L268"/>
  <c r="K269"/>
  <c r="J270"/>
  <c r="I271"/>
  <c r="M271"/>
  <c r="L272"/>
  <c r="K273"/>
  <c r="J274"/>
  <c r="I275"/>
  <c r="M275"/>
  <c r="L276"/>
  <c r="K277"/>
  <c r="J278"/>
  <c r="I279"/>
  <c r="M279"/>
  <c r="L280"/>
  <c r="K281"/>
  <c r="J282"/>
  <c r="I283"/>
  <c r="M283"/>
  <c r="L284"/>
  <c r="K285"/>
  <c r="J286"/>
  <c r="I287"/>
  <c r="M287"/>
  <c r="L288"/>
  <c r="K289"/>
  <c r="J290"/>
  <c r="I291"/>
  <c r="M291"/>
  <c r="L292"/>
  <c r="K293"/>
  <c r="J294"/>
  <c r="I295"/>
  <c r="M295"/>
  <c r="L296"/>
  <c r="K297"/>
  <c r="J298"/>
  <c r="I299"/>
  <c r="M299"/>
  <c r="L300"/>
  <c r="K301"/>
  <c r="J302"/>
  <c r="I303"/>
  <c r="M303"/>
  <c r="L304"/>
  <c r="K305"/>
  <c r="J306"/>
  <c r="I307"/>
  <c r="M307"/>
  <c r="L308"/>
  <c r="K309"/>
  <c r="J310"/>
  <c r="I311"/>
  <c r="M311"/>
  <c r="L312"/>
  <c r="K313"/>
  <c r="J314"/>
  <c r="I315"/>
  <c r="M315"/>
  <c r="L316"/>
  <c r="K317"/>
  <c r="J318"/>
  <c r="I319"/>
  <c r="M319"/>
  <c r="L320"/>
  <c r="K321"/>
  <c r="J322"/>
  <c r="I323"/>
  <c r="M323"/>
  <c r="L324"/>
  <c r="K325"/>
  <c r="J326"/>
  <c r="I327"/>
  <c r="M327"/>
  <c r="L328"/>
  <c r="K329"/>
  <c r="J330"/>
  <c r="I331"/>
  <c r="M331"/>
  <c r="L332"/>
  <c r="K333"/>
  <c r="J334"/>
  <c r="I335"/>
  <c r="M335"/>
  <c r="K22"/>
  <c r="I67"/>
  <c r="M79"/>
  <c r="L92"/>
  <c r="K105"/>
  <c r="M116"/>
  <c r="I120"/>
  <c r="J123"/>
  <c r="K126"/>
  <c r="L129"/>
  <c r="M132"/>
  <c r="I136"/>
  <c r="J139"/>
  <c r="K142"/>
  <c r="L145"/>
  <c r="M148"/>
  <c r="I152"/>
  <c r="J155"/>
  <c r="K158"/>
  <c r="L161"/>
  <c r="M164"/>
  <c r="I168"/>
  <c r="J171"/>
  <c r="K174"/>
  <c r="L177"/>
  <c r="M180"/>
  <c r="I184"/>
  <c r="J187"/>
  <c r="K190"/>
  <c r="L193"/>
  <c r="M196"/>
  <c r="I200"/>
  <c r="J203"/>
  <c r="K206"/>
  <c r="L209"/>
  <c r="M212"/>
  <c r="I216"/>
  <c r="J219"/>
  <c r="K222"/>
  <c r="L225"/>
  <c r="M228"/>
  <c r="I232"/>
  <c r="L233"/>
  <c r="J235"/>
  <c r="I236"/>
  <c r="M236"/>
  <c r="L237"/>
  <c r="K238"/>
  <c r="J239"/>
  <c r="I240"/>
  <c r="M240"/>
  <c r="L241"/>
  <c r="K242"/>
  <c r="J243"/>
  <c r="I244"/>
  <c r="M244"/>
  <c r="L245"/>
  <c r="K246"/>
  <c r="J247"/>
  <c r="I248"/>
  <c r="M248"/>
  <c r="L249"/>
  <c r="K250"/>
  <c r="J251"/>
  <c r="I252"/>
  <c r="M252"/>
  <c r="L253"/>
  <c r="K254"/>
  <c r="J255"/>
  <c r="I256"/>
  <c r="M256"/>
  <c r="L257"/>
  <c r="K258"/>
  <c r="J259"/>
  <c r="I260"/>
  <c r="M260"/>
  <c r="L261"/>
  <c r="K262"/>
  <c r="J263"/>
  <c r="I264"/>
  <c r="M264"/>
  <c r="L265"/>
  <c r="K266"/>
  <c r="J267"/>
  <c r="I268"/>
  <c r="M268"/>
  <c r="L269"/>
  <c r="K270"/>
  <c r="J271"/>
  <c r="I272"/>
  <c r="M272"/>
  <c r="L273"/>
  <c r="K274"/>
  <c r="J275"/>
  <c r="I276"/>
  <c r="M276"/>
  <c r="L277"/>
  <c r="K278"/>
  <c r="J279"/>
  <c r="I280"/>
  <c r="M280"/>
  <c r="L281"/>
  <c r="K282"/>
  <c r="J283"/>
  <c r="I284"/>
  <c r="M284"/>
  <c r="L285"/>
  <c r="K286"/>
  <c r="J287"/>
  <c r="I288"/>
  <c r="M288"/>
  <c r="L289"/>
  <c r="K290"/>
  <c r="J291"/>
  <c r="I292"/>
  <c r="M292"/>
  <c r="L293"/>
  <c r="K294"/>
  <c r="J295"/>
  <c r="I296"/>
  <c r="M296"/>
  <c r="L297"/>
  <c r="K298"/>
  <c r="J299"/>
  <c r="I300"/>
  <c r="M300"/>
  <c r="L301"/>
  <c r="K302"/>
  <c r="J303"/>
  <c r="I304"/>
  <c r="M304"/>
  <c r="L305"/>
  <c r="K306"/>
  <c r="J307"/>
  <c r="I308"/>
  <c r="M308"/>
  <c r="L309"/>
  <c r="K310"/>
  <c r="J311"/>
  <c r="I312"/>
  <c r="M312"/>
  <c r="L313"/>
  <c r="K314"/>
  <c r="J315"/>
  <c r="I316"/>
  <c r="M316"/>
  <c r="L317"/>
  <c r="K318"/>
  <c r="J319"/>
  <c r="I320"/>
  <c r="M320"/>
  <c r="L321"/>
  <c r="K322"/>
  <c r="J323"/>
  <c r="I324"/>
  <c r="M324"/>
  <c r="L325"/>
  <c r="K326"/>
  <c r="J327"/>
  <c r="I328"/>
  <c r="M328"/>
  <c r="L329"/>
  <c r="K330"/>
  <c r="J331"/>
  <c r="I332"/>
  <c r="M332"/>
  <c r="L333"/>
  <c r="K334"/>
  <c r="J335"/>
  <c r="I336"/>
  <c r="M336"/>
  <c r="J35"/>
  <c r="J70"/>
  <c r="I83"/>
  <c r="M95"/>
  <c r="L108"/>
  <c r="L117"/>
  <c r="M120"/>
  <c r="I124"/>
  <c r="J127"/>
  <c r="K130"/>
  <c r="L133"/>
  <c r="M136"/>
  <c r="I140"/>
  <c r="J143"/>
  <c r="K146"/>
  <c r="L149"/>
  <c r="M152"/>
  <c r="I156"/>
  <c r="J159"/>
  <c r="K162"/>
  <c r="L165"/>
  <c r="M168"/>
  <c r="I172"/>
  <c r="J175"/>
  <c r="K178"/>
  <c r="L181"/>
  <c r="M184"/>
  <c r="I188"/>
  <c r="J191"/>
  <c r="K194"/>
  <c r="L197"/>
  <c r="M200"/>
  <c r="I204"/>
  <c r="J207"/>
  <c r="K210"/>
  <c r="L213"/>
  <c r="M216"/>
  <c r="I220"/>
  <c r="J223"/>
  <c r="K226"/>
  <c r="L229"/>
  <c r="J232"/>
  <c r="M233"/>
  <c r="K235"/>
  <c r="J236"/>
  <c r="I237"/>
  <c r="M237"/>
  <c r="L238"/>
  <c r="K239"/>
  <c r="J240"/>
  <c r="I241"/>
  <c r="M241"/>
  <c r="L242"/>
  <c r="K243"/>
  <c r="J244"/>
  <c r="I245"/>
  <c r="M245"/>
  <c r="L246"/>
  <c r="K247"/>
  <c r="J248"/>
  <c r="I249"/>
  <c r="M249"/>
  <c r="L250"/>
  <c r="K251"/>
  <c r="J252"/>
  <c r="I253"/>
  <c r="M253"/>
  <c r="L254"/>
  <c r="K255"/>
  <c r="J256"/>
  <c r="I257"/>
  <c r="M257"/>
  <c r="L258"/>
  <c r="K259"/>
  <c r="J260"/>
  <c r="I261"/>
  <c r="M261"/>
  <c r="L262"/>
  <c r="K263"/>
  <c r="J264"/>
  <c r="I265"/>
  <c r="M265"/>
  <c r="L266"/>
  <c r="K267"/>
  <c r="J268"/>
  <c r="I269"/>
  <c r="M269"/>
  <c r="L270"/>
  <c r="K271"/>
  <c r="J272"/>
  <c r="I273"/>
  <c r="M273"/>
  <c r="L274"/>
  <c r="K275"/>
  <c r="J276"/>
  <c r="I277"/>
  <c r="M277"/>
  <c r="L278"/>
  <c r="K279"/>
  <c r="J280"/>
  <c r="I281"/>
  <c r="M281"/>
  <c r="L282"/>
  <c r="K283"/>
  <c r="J284"/>
  <c r="I285"/>
  <c r="M285"/>
  <c r="L286"/>
  <c r="K287"/>
  <c r="J288"/>
  <c r="I289"/>
  <c r="M289"/>
  <c r="L290"/>
  <c r="K291"/>
  <c r="J292"/>
  <c r="I293"/>
  <c r="M293"/>
  <c r="L294"/>
  <c r="K295"/>
  <c r="J296"/>
  <c r="I297"/>
  <c r="M297"/>
  <c r="L298"/>
  <c r="K299"/>
  <c r="J300"/>
  <c r="I301"/>
  <c r="M301"/>
  <c r="L302"/>
  <c r="K303"/>
  <c r="J304"/>
  <c r="I305"/>
  <c r="M305"/>
  <c r="L306"/>
  <c r="K307"/>
  <c r="J308"/>
  <c r="I309"/>
  <c r="M309"/>
  <c r="L310"/>
  <c r="K311"/>
  <c r="J312"/>
  <c r="I313"/>
  <c r="M313"/>
  <c r="L314"/>
  <c r="K315"/>
  <c r="J316"/>
  <c r="I317"/>
  <c r="M317"/>
  <c r="L318"/>
  <c r="K319"/>
  <c r="J320"/>
  <c r="I321"/>
  <c r="M321"/>
  <c r="L322"/>
  <c r="K323"/>
  <c r="J324"/>
  <c r="I325"/>
  <c r="M325"/>
  <c r="L326"/>
  <c r="K327"/>
  <c r="J328"/>
  <c r="I329"/>
  <c r="M329"/>
  <c r="L330"/>
  <c r="K331"/>
  <c r="I48"/>
  <c r="M111"/>
  <c r="I128"/>
  <c r="M140"/>
  <c r="L153"/>
  <c r="K166"/>
  <c r="J179"/>
  <c r="I192"/>
  <c r="M204"/>
  <c r="L217"/>
  <c r="K230"/>
  <c r="K236"/>
  <c r="L239"/>
  <c r="M242"/>
  <c r="I246"/>
  <c r="J249"/>
  <c r="K252"/>
  <c r="L255"/>
  <c r="M258"/>
  <c r="I262"/>
  <c r="J265"/>
  <c r="K268"/>
  <c r="L271"/>
  <c r="M274"/>
  <c r="I278"/>
  <c r="J281"/>
  <c r="K284"/>
  <c r="L287"/>
  <c r="M290"/>
  <c r="I294"/>
  <c r="J297"/>
  <c r="K300"/>
  <c r="L303"/>
  <c r="M306"/>
  <c r="I310"/>
  <c r="J313"/>
  <c r="K316"/>
  <c r="L319"/>
  <c r="M322"/>
  <c r="I326"/>
  <c r="J329"/>
  <c r="J332"/>
  <c r="M333"/>
  <c r="K335"/>
  <c r="L336"/>
  <c r="L337"/>
  <c r="K338"/>
  <c r="J339"/>
  <c r="I340"/>
  <c r="M340"/>
  <c r="L341"/>
  <c r="K342"/>
  <c r="J343"/>
  <c r="I344"/>
  <c r="M344"/>
  <c r="L345"/>
  <c r="K346"/>
  <c r="J347"/>
  <c r="I348"/>
  <c r="M348"/>
  <c r="L349"/>
  <c r="K350"/>
  <c r="J351"/>
  <c r="I352"/>
  <c r="M352"/>
  <c r="L353"/>
  <c r="K354"/>
  <c r="J355"/>
  <c r="I356"/>
  <c r="M356"/>
  <c r="L357"/>
  <c r="K358"/>
  <c r="J359"/>
  <c r="I360"/>
  <c r="M360"/>
  <c r="L361"/>
  <c r="K362"/>
  <c r="J363"/>
  <c r="I364"/>
  <c r="M364"/>
  <c r="L365"/>
  <c r="K366"/>
  <c r="J367"/>
  <c r="I368"/>
  <c r="M368"/>
  <c r="L369"/>
  <c r="K370"/>
  <c r="J371"/>
  <c r="I372"/>
  <c r="M372"/>
  <c r="L373"/>
  <c r="K374"/>
  <c r="J375"/>
  <c r="I376"/>
  <c r="M376"/>
  <c r="L377"/>
  <c r="K378"/>
  <c r="J379"/>
  <c r="I380"/>
  <c r="M380"/>
  <c r="L381"/>
  <c r="K382"/>
  <c r="J383"/>
  <c r="I384"/>
  <c r="M384"/>
  <c r="L385"/>
  <c r="K386"/>
  <c r="J387"/>
  <c r="I388"/>
  <c r="M388"/>
  <c r="L389"/>
  <c r="K390"/>
  <c r="J391"/>
  <c r="I392"/>
  <c r="M392"/>
  <c r="L393"/>
  <c r="K394"/>
  <c r="J395"/>
  <c r="I396"/>
  <c r="M396"/>
  <c r="L397"/>
  <c r="K398"/>
  <c r="J399"/>
  <c r="I400"/>
  <c r="M400"/>
  <c r="L401"/>
  <c r="K402"/>
  <c r="J403"/>
  <c r="I404"/>
  <c r="M404"/>
  <c r="L2"/>
  <c r="K3"/>
  <c r="J4"/>
  <c r="I5"/>
  <c r="M5"/>
  <c r="L6"/>
  <c r="K7"/>
  <c r="J8"/>
  <c r="I9"/>
  <c r="M9"/>
  <c r="L10"/>
  <c r="K11"/>
  <c r="J12"/>
  <c r="I99"/>
  <c r="J163"/>
  <c r="L201"/>
  <c r="L235"/>
  <c r="I242"/>
  <c r="L251"/>
  <c r="K264"/>
  <c r="M270"/>
  <c r="K280"/>
  <c r="I290"/>
  <c r="M302"/>
  <c r="I306"/>
  <c r="L315"/>
  <c r="J325"/>
  <c r="M334"/>
  <c r="K337"/>
  <c r="M339"/>
  <c r="I343"/>
  <c r="J346"/>
  <c r="L348"/>
  <c r="I351"/>
  <c r="M351"/>
  <c r="I355"/>
  <c r="K357"/>
  <c r="I359"/>
  <c r="J362"/>
  <c r="L364"/>
  <c r="J366"/>
  <c r="K369"/>
  <c r="I371"/>
  <c r="K73"/>
  <c r="K118"/>
  <c r="J131"/>
  <c r="I144"/>
  <c r="M156"/>
  <c r="L169"/>
  <c r="K182"/>
  <c r="J195"/>
  <c r="I208"/>
  <c r="M220"/>
  <c r="M232"/>
  <c r="J237"/>
  <c r="K240"/>
  <c r="L243"/>
  <c r="M246"/>
  <c r="I250"/>
  <c r="J253"/>
  <c r="K256"/>
  <c r="L259"/>
  <c r="M262"/>
  <c r="I266"/>
  <c r="J269"/>
  <c r="K272"/>
  <c r="L275"/>
  <c r="M278"/>
  <c r="I282"/>
  <c r="J285"/>
  <c r="K288"/>
  <c r="L291"/>
  <c r="M294"/>
  <c r="I298"/>
  <c r="J301"/>
  <c r="K304"/>
  <c r="L307"/>
  <c r="M310"/>
  <c r="I314"/>
  <c r="J317"/>
  <c r="K320"/>
  <c r="L323"/>
  <c r="M326"/>
  <c r="I330"/>
  <c r="K332"/>
  <c r="I334"/>
  <c r="L335"/>
  <c r="I337"/>
  <c r="M337"/>
  <c r="L338"/>
  <c r="K339"/>
  <c r="J340"/>
  <c r="I341"/>
  <c r="M341"/>
  <c r="L342"/>
  <c r="K343"/>
  <c r="J344"/>
  <c r="I345"/>
  <c r="M345"/>
  <c r="L346"/>
  <c r="K347"/>
  <c r="J348"/>
  <c r="I349"/>
  <c r="M349"/>
  <c r="L350"/>
  <c r="K351"/>
  <c r="J352"/>
  <c r="I353"/>
  <c r="M353"/>
  <c r="L354"/>
  <c r="K355"/>
  <c r="J356"/>
  <c r="I357"/>
  <c r="M357"/>
  <c r="L358"/>
  <c r="K359"/>
  <c r="J360"/>
  <c r="I361"/>
  <c r="M361"/>
  <c r="L362"/>
  <c r="K363"/>
  <c r="J364"/>
  <c r="I365"/>
  <c r="M365"/>
  <c r="L366"/>
  <c r="K367"/>
  <c r="J368"/>
  <c r="I369"/>
  <c r="M369"/>
  <c r="L370"/>
  <c r="K371"/>
  <c r="J372"/>
  <c r="I373"/>
  <c r="M373"/>
  <c r="L374"/>
  <c r="K375"/>
  <c r="J376"/>
  <c r="I377"/>
  <c r="M377"/>
  <c r="L378"/>
  <c r="K379"/>
  <c r="J380"/>
  <c r="I381"/>
  <c r="M381"/>
  <c r="L382"/>
  <c r="K383"/>
  <c r="J384"/>
  <c r="I385"/>
  <c r="M385"/>
  <c r="L386"/>
  <c r="K387"/>
  <c r="J388"/>
  <c r="I389"/>
  <c r="M389"/>
  <c r="L390"/>
  <c r="K391"/>
  <c r="J392"/>
  <c r="I393"/>
  <c r="M393"/>
  <c r="L394"/>
  <c r="K395"/>
  <c r="J396"/>
  <c r="I397"/>
  <c r="M397"/>
  <c r="L398"/>
  <c r="K399"/>
  <c r="J400"/>
  <c r="I401"/>
  <c r="M401"/>
  <c r="L402"/>
  <c r="K403"/>
  <c r="J404"/>
  <c r="I2"/>
  <c r="M2"/>
  <c r="L3"/>
  <c r="K4"/>
  <c r="J5"/>
  <c r="I6"/>
  <c r="M6"/>
  <c r="L7"/>
  <c r="K8"/>
  <c r="J9"/>
  <c r="I10"/>
  <c r="M10"/>
  <c r="L11"/>
  <c r="K12"/>
  <c r="L12"/>
  <c r="L137"/>
  <c r="K150"/>
  <c r="M188"/>
  <c r="J227"/>
  <c r="J245"/>
  <c r="M254"/>
  <c r="J261"/>
  <c r="I274"/>
  <c r="L283"/>
  <c r="J293"/>
  <c r="L299"/>
  <c r="J309"/>
  <c r="M318"/>
  <c r="K328"/>
  <c r="J333"/>
  <c r="J338"/>
  <c r="L340"/>
  <c r="J342"/>
  <c r="L344"/>
  <c r="M347"/>
  <c r="J350"/>
  <c r="K353"/>
  <c r="M355"/>
  <c r="L356"/>
  <c r="M359"/>
  <c r="K361"/>
  <c r="M363"/>
  <c r="I367"/>
  <c r="L368"/>
  <c r="M371"/>
  <c r="J86"/>
  <c r="L121"/>
  <c r="K134"/>
  <c r="J147"/>
  <c r="I160"/>
  <c r="M172"/>
  <c r="L185"/>
  <c r="K198"/>
  <c r="J211"/>
  <c r="I224"/>
  <c r="K234"/>
  <c r="I238"/>
  <c r="J241"/>
  <c r="K244"/>
  <c r="L247"/>
  <c r="M250"/>
  <c r="I254"/>
  <c r="J257"/>
  <c r="K260"/>
  <c r="L263"/>
  <c r="M266"/>
  <c r="I270"/>
  <c r="J273"/>
  <c r="K276"/>
  <c r="L279"/>
  <c r="M282"/>
  <c r="I286"/>
  <c r="J289"/>
  <c r="K292"/>
  <c r="L295"/>
  <c r="M298"/>
  <c r="I302"/>
  <c r="J305"/>
  <c r="K308"/>
  <c r="L311"/>
  <c r="M314"/>
  <c r="I318"/>
  <c r="J321"/>
  <c r="K324"/>
  <c r="L327"/>
  <c r="M330"/>
  <c r="I333"/>
  <c r="L334"/>
  <c r="J336"/>
  <c r="J337"/>
  <c r="I338"/>
  <c r="M338"/>
  <c r="L339"/>
  <c r="K340"/>
  <c r="J341"/>
  <c r="I342"/>
  <c r="M342"/>
  <c r="L343"/>
  <c r="K344"/>
  <c r="J345"/>
  <c r="I346"/>
  <c r="M346"/>
  <c r="L347"/>
  <c r="K348"/>
  <c r="J349"/>
  <c r="I350"/>
  <c r="M350"/>
  <c r="L351"/>
  <c r="K352"/>
  <c r="J353"/>
  <c r="I354"/>
  <c r="M354"/>
  <c r="L355"/>
  <c r="K356"/>
  <c r="J357"/>
  <c r="I358"/>
  <c r="M358"/>
  <c r="L359"/>
  <c r="K360"/>
  <c r="J361"/>
  <c r="I362"/>
  <c r="M362"/>
  <c r="L363"/>
  <c r="K364"/>
  <c r="J365"/>
  <c r="I366"/>
  <c r="M366"/>
  <c r="L367"/>
  <c r="K368"/>
  <c r="J369"/>
  <c r="I370"/>
  <c r="M370"/>
  <c r="L371"/>
  <c r="K372"/>
  <c r="J373"/>
  <c r="I374"/>
  <c r="M374"/>
  <c r="L375"/>
  <c r="K376"/>
  <c r="J377"/>
  <c r="I378"/>
  <c r="M378"/>
  <c r="L379"/>
  <c r="K380"/>
  <c r="J381"/>
  <c r="I382"/>
  <c r="M382"/>
  <c r="L383"/>
  <c r="K384"/>
  <c r="J385"/>
  <c r="I386"/>
  <c r="M386"/>
  <c r="L387"/>
  <c r="K388"/>
  <c r="J389"/>
  <c r="I390"/>
  <c r="M390"/>
  <c r="L391"/>
  <c r="K392"/>
  <c r="J393"/>
  <c r="I394"/>
  <c r="M394"/>
  <c r="L395"/>
  <c r="K396"/>
  <c r="J397"/>
  <c r="I398"/>
  <c r="M398"/>
  <c r="L399"/>
  <c r="K400"/>
  <c r="J401"/>
  <c r="I402"/>
  <c r="M402"/>
  <c r="L403"/>
  <c r="K404"/>
  <c r="J2"/>
  <c r="I3"/>
  <c r="M3"/>
  <c r="L4"/>
  <c r="K5"/>
  <c r="J6"/>
  <c r="I7"/>
  <c r="M7"/>
  <c r="L8"/>
  <c r="K9"/>
  <c r="J10"/>
  <c r="I11"/>
  <c r="M11"/>
  <c r="M124"/>
  <c r="I176"/>
  <c r="K214"/>
  <c r="M238"/>
  <c r="K248"/>
  <c r="I258"/>
  <c r="L267"/>
  <c r="J277"/>
  <c r="M286"/>
  <c r="K296"/>
  <c r="K312"/>
  <c r="I322"/>
  <c r="L331"/>
  <c r="K336"/>
  <c r="I339"/>
  <c r="K341"/>
  <c r="M343"/>
  <c r="K345"/>
  <c r="I347"/>
  <c r="K349"/>
  <c r="L352"/>
  <c r="J354"/>
  <c r="J358"/>
  <c r="L360"/>
  <c r="I363"/>
  <c r="K365"/>
  <c r="M367"/>
  <c r="J370"/>
  <c r="L372"/>
  <c r="M375"/>
  <c r="I379"/>
  <c r="J382"/>
  <c r="K385"/>
  <c r="L388"/>
  <c r="M391"/>
  <c r="I395"/>
  <c r="J398"/>
  <c r="K401"/>
  <c r="L404"/>
  <c r="M4"/>
  <c r="I8"/>
  <c r="J11"/>
  <c r="K381"/>
  <c r="I391"/>
  <c r="M403"/>
  <c r="K10"/>
  <c r="K373"/>
  <c r="L376"/>
  <c r="M379"/>
  <c r="I383"/>
  <c r="J386"/>
  <c r="K389"/>
  <c r="L392"/>
  <c r="M395"/>
  <c r="I399"/>
  <c r="J402"/>
  <c r="K2"/>
  <c r="L5"/>
  <c r="M8"/>
  <c r="I12"/>
  <c r="J378"/>
  <c r="L384"/>
  <c r="J394"/>
  <c r="I4"/>
  <c r="J374"/>
  <c r="K377"/>
  <c r="L380"/>
  <c r="M383"/>
  <c r="I387"/>
  <c r="J390"/>
  <c r="K393"/>
  <c r="L396"/>
  <c r="M399"/>
  <c r="I403"/>
  <c r="J3"/>
  <c r="K6"/>
  <c r="L9"/>
  <c r="M12"/>
  <c r="I375"/>
  <c r="M387"/>
  <c r="K397"/>
  <c r="L400"/>
  <c r="J7"/>
  <c r="F420"/>
  <c r="F414"/>
  <c r="F418"/>
  <c r="G413"/>
  <c r="G417"/>
  <c r="H412"/>
  <c r="H416"/>
  <c r="G420"/>
  <c r="F411"/>
  <c r="F415"/>
  <c r="F419"/>
  <c r="G414"/>
  <c r="G418"/>
  <c r="H413"/>
  <c r="H417"/>
  <c r="H420"/>
  <c r="F412"/>
  <c r="F416"/>
  <c r="G411"/>
  <c r="G415"/>
  <c r="G419"/>
  <c r="H414"/>
  <c r="H418"/>
  <c r="F413"/>
  <c r="F417"/>
  <c r="G412"/>
  <c r="G416"/>
  <c r="H411"/>
  <c r="H415"/>
  <c r="H419"/>
  <c r="F352"/>
  <c r="F356"/>
  <c r="F360"/>
  <c r="F364"/>
  <c r="F368"/>
  <c r="F372"/>
  <c r="F376"/>
  <c r="F353"/>
  <c r="F357"/>
  <c r="F361"/>
  <c r="F365"/>
  <c r="F369"/>
  <c r="F373"/>
  <c r="G73"/>
  <c r="G77"/>
  <c r="G81"/>
  <c r="G85"/>
  <c r="G89"/>
  <c r="G93"/>
  <c r="F354"/>
  <c r="F358"/>
  <c r="F362"/>
  <c r="F366"/>
  <c r="F370"/>
  <c r="F374"/>
  <c r="G70"/>
  <c r="G74"/>
  <c r="G78"/>
  <c r="F355"/>
  <c r="F371"/>
  <c r="G75"/>
  <c r="G82"/>
  <c r="G87"/>
  <c r="G92"/>
  <c r="G97"/>
  <c r="G101"/>
  <c r="G105"/>
  <c r="G109"/>
  <c r="G113"/>
  <c r="G117"/>
  <c r="G121"/>
  <c r="G125"/>
  <c r="G129"/>
  <c r="G133"/>
  <c r="G140"/>
  <c r="G144"/>
  <c r="G148"/>
  <c r="G152"/>
  <c r="G156"/>
  <c r="G160"/>
  <c r="G164"/>
  <c r="G168"/>
  <c r="G172"/>
  <c r="G176"/>
  <c r="G180"/>
  <c r="G184"/>
  <c r="G188"/>
  <c r="G192"/>
  <c r="G196"/>
  <c r="G200"/>
  <c r="G204"/>
  <c r="G208"/>
  <c r="G212"/>
  <c r="G216"/>
  <c r="G220"/>
  <c r="G224"/>
  <c r="G228"/>
  <c r="G232"/>
  <c r="G236"/>
  <c r="G240"/>
  <c r="G244"/>
  <c r="G248"/>
  <c r="G252"/>
  <c r="G256"/>
  <c r="G260"/>
  <c r="G264"/>
  <c r="G268"/>
  <c r="G272"/>
  <c r="G276"/>
  <c r="G282"/>
  <c r="G286"/>
  <c r="G290"/>
  <c r="G294"/>
  <c r="G298"/>
  <c r="G302"/>
  <c r="G306"/>
  <c r="G310"/>
  <c r="G314"/>
  <c r="G318"/>
  <c r="G322"/>
  <c r="G326"/>
  <c r="G330"/>
  <c r="G334"/>
  <c r="F359"/>
  <c r="F375"/>
  <c r="G76"/>
  <c r="G83"/>
  <c r="G88"/>
  <c r="G94"/>
  <c r="G98"/>
  <c r="G102"/>
  <c r="G106"/>
  <c r="G110"/>
  <c r="G114"/>
  <c r="G118"/>
  <c r="G122"/>
  <c r="G126"/>
  <c r="G130"/>
  <c r="G134"/>
  <c r="G137"/>
  <c r="G141"/>
  <c r="G145"/>
  <c r="G149"/>
  <c r="G153"/>
  <c r="G157"/>
  <c r="G161"/>
  <c r="G165"/>
  <c r="G169"/>
  <c r="G173"/>
  <c r="G177"/>
  <c r="G181"/>
  <c r="G185"/>
  <c r="G189"/>
  <c r="G193"/>
  <c r="G197"/>
  <c r="G201"/>
  <c r="G205"/>
  <c r="G209"/>
  <c r="G213"/>
  <c r="G217"/>
  <c r="G221"/>
  <c r="G225"/>
  <c r="G229"/>
  <c r="G233"/>
  <c r="G237"/>
  <c r="G241"/>
  <c r="G245"/>
  <c r="G249"/>
  <c r="G253"/>
  <c r="G257"/>
  <c r="G261"/>
  <c r="G265"/>
  <c r="G269"/>
  <c r="G273"/>
  <c r="G277"/>
  <c r="G280"/>
  <c r="G283"/>
  <c r="G287"/>
  <c r="G291"/>
  <c r="G295"/>
  <c r="F363"/>
  <c r="G71"/>
  <c r="G79"/>
  <c r="G84"/>
  <c r="G90"/>
  <c r="G95"/>
  <c r="G99"/>
  <c r="G103"/>
  <c r="G107"/>
  <c r="G111"/>
  <c r="G115"/>
  <c r="G119"/>
  <c r="G123"/>
  <c r="G127"/>
  <c r="G131"/>
  <c r="G135"/>
  <c r="G138"/>
  <c r="G142"/>
  <c r="G146"/>
  <c r="G150"/>
  <c r="G154"/>
  <c r="G158"/>
  <c r="G162"/>
  <c r="G166"/>
  <c r="G170"/>
  <c r="G174"/>
  <c r="G178"/>
  <c r="G182"/>
  <c r="G186"/>
  <c r="G190"/>
  <c r="G194"/>
  <c r="G198"/>
  <c r="G202"/>
  <c r="G206"/>
  <c r="G210"/>
  <c r="G214"/>
  <c r="G218"/>
  <c r="G222"/>
  <c r="G226"/>
  <c r="G230"/>
  <c r="G234"/>
  <c r="G238"/>
  <c r="G242"/>
  <c r="G246"/>
  <c r="G250"/>
  <c r="G254"/>
  <c r="G258"/>
  <c r="G262"/>
  <c r="G266"/>
  <c r="G270"/>
  <c r="G274"/>
  <c r="G278"/>
  <c r="G284"/>
  <c r="G288"/>
  <c r="G292"/>
  <c r="G296"/>
  <c r="G300"/>
  <c r="G304"/>
  <c r="G308"/>
  <c r="G312"/>
  <c r="G316"/>
  <c r="G320"/>
  <c r="G324"/>
  <c r="G328"/>
  <c r="G332"/>
  <c r="G336"/>
  <c r="G80"/>
  <c r="G100"/>
  <c r="G116"/>
  <c r="G132"/>
  <c r="G147"/>
  <c r="G163"/>
  <c r="G179"/>
  <c r="G195"/>
  <c r="G211"/>
  <c r="G227"/>
  <c r="G243"/>
  <c r="G259"/>
  <c r="G275"/>
  <c r="G289"/>
  <c r="G301"/>
  <c r="G309"/>
  <c r="G317"/>
  <c r="G325"/>
  <c r="G333"/>
  <c r="G339"/>
  <c r="G343"/>
  <c r="G347"/>
  <c r="G351"/>
  <c r="G355"/>
  <c r="G359"/>
  <c r="G363"/>
  <c r="G367"/>
  <c r="G371"/>
  <c r="G375"/>
  <c r="H69"/>
  <c r="H73"/>
  <c r="H77"/>
  <c r="H81"/>
  <c r="H85"/>
  <c r="H89"/>
  <c r="H93"/>
  <c r="H97"/>
  <c r="H101"/>
  <c r="H105"/>
  <c r="H109"/>
  <c r="H113"/>
  <c r="H117"/>
  <c r="H121"/>
  <c r="H125"/>
  <c r="H129"/>
  <c r="H133"/>
  <c r="H140"/>
  <c r="H144"/>
  <c r="H148"/>
  <c r="H152"/>
  <c r="H156"/>
  <c r="H160"/>
  <c r="H164"/>
  <c r="H168"/>
  <c r="H172"/>
  <c r="H176"/>
  <c r="H180"/>
  <c r="H184"/>
  <c r="H188"/>
  <c r="H192"/>
  <c r="H196"/>
  <c r="H200"/>
  <c r="H204"/>
  <c r="H208"/>
  <c r="F351"/>
  <c r="G86"/>
  <c r="G104"/>
  <c r="G120"/>
  <c r="G136"/>
  <c r="G151"/>
  <c r="G167"/>
  <c r="G183"/>
  <c r="G199"/>
  <c r="G215"/>
  <c r="G231"/>
  <c r="G247"/>
  <c r="G263"/>
  <c r="G279"/>
  <c r="G293"/>
  <c r="G303"/>
  <c r="G311"/>
  <c r="G319"/>
  <c r="G327"/>
  <c r="G335"/>
  <c r="G340"/>
  <c r="G344"/>
  <c r="G348"/>
  <c r="G352"/>
  <c r="G356"/>
  <c r="G360"/>
  <c r="G364"/>
  <c r="G368"/>
  <c r="G372"/>
  <c r="G376"/>
  <c r="H70"/>
  <c r="H74"/>
  <c r="H78"/>
  <c r="H82"/>
  <c r="H86"/>
  <c r="H90"/>
  <c r="H94"/>
  <c r="H98"/>
  <c r="H102"/>
  <c r="H106"/>
  <c r="H110"/>
  <c r="H114"/>
  <c r="H118"/>
  <c r="H122"/>
  <c r="H126"/>
  <c r="H130"/>
  <c r="H134"/>
  <c r="H137"/>
  <c r="H141"/>
  <c r="H145"/>
  <c r="F367"/>
  <c r="G91"/>
  <c r="G108"/>
  <c r="G124"/>
  <c r="G139"/>
  <c r="G155"/>
  <c r="G171"/>
  <c r="G187"/>
  <c r="G203"/>
  <c r="G219"/>
  <c r="G235"/>
  <c r="G251"/>
  <c r="G267"/>
  <c r="G281"/>
  <c r="G297"/>
  <c r="G305"/>
  <c r="G313"/>
  <c r="G321"/>
  <c r="G329"/>
  <c r="G337"/>
  <c r="G341"/>
  <c r="G345"/>
  <c r="G349"/>
  <c r="G353"/>
  <c r="G357"/>
  <c r="G361"/>
  <c r="G365"/>
  <c r="G369"/>
  <c r="G373"/>
  <c r="H71"/>
  <c r="H75"/>
  <c r="H79"/>
  <c r="H83"/>
  <c r="H87"/>
  <c r="H91"/>
  <c r="H95"/>
  <c r="H99"/>
  <c r="H103"/>
  <c r="H107"/>
  <c r="H111"/>
  <c r="H115"/>
  <c r="H119"/>
  <c r="H123"/>
  <c r="H127"/>
  <c r="H131"/>
  <c r="H135"/>
  <c r="H138"/>
  <c r="H142"/>
  <c r="H146"/>
  <c r="H150"/>
  <c r="H154"/>
  <c r="H158"/>
  <c r="H162"/>
  <c r="H166"/>
  <c r="H170"/>
  <c r="H174"/>
  <c r="H178"/>
  <c r="H182"/>
  <c r="H186"/>
  <c r="H190"/>
  <c r="H194"/>
  <c r="H198"/>
  <c r="H202"/>
  <c r="H206"/>
  <c r="G72"/>
  <c r="G143"/>
  <c r="G207"/>
  <c r="G271"/>
  <c r="G315"/>
  <c r="G342"/>
  <c r="G358"/>
  <c r="G374"/>
  <c r="H80"/>
  <c r="H96"/>
  <c r="H112"/>
  <c r="H128"/>
  <c r="H143"/>
  <c r="H153"/>
  <c r="H161"/>
  <c r="H169"/>
  <c r="H177"/>
  <c r="H185"/>
  <c r="H193"/>
  <c r="H201"/>
  <c r="H209"/>
  <c r="H213"/>
  <c r="H217"/>
  <c r="H221"/>
  <c r="H225"/>
  <c r="H229"/>
  <c r="H233"/>
  <c r="H237"/>
  <c r="H241"/>
  <c r="H245"/>
  <c r="H249"/>
  <c r="H253"/>
  <c r="H257"/>
  <c r="H261"/>
  <c r="H265"/>
  <c r="H269"/>
  <c r="H273"/>
  <c r="H277"/>
  <c r="H280"/>
  <c r="H283"/>
  <c r="H287"/>
  <c r="H291"/>
  <c r="H295"/>
  <c r="H299"/>
  <c r="H303"/>
  <c r="H307"/>
  <c r="H311"/>
  <c r="H315"/>
  <c r="H319"/>
  <c r="H323"/>
  <c r="H327"/>
  <c r="H331"/>
  <c r="H335"/>
  <c r="H339"/>
  <c r="H343"/>
  <c r="H347"/>
  <c r="H351"/>
  <c r="H355"/>
  <c r="H359"/>
  <c r="H363"/>
  <c r="H367"/>
  <c r="H371"/>
  <c r="H375"/>
  <c r="G96"/>
  <c r="G159"/>
  <c r="G223"/>
  <c r="G285"/>
  <c r="G323"/>
  <c r="G346"/>
  <c r="G362"/>
  <c r="H84"/>
  <c r="H100"/>
  <c r="H116"/>
  <c r="H132"/>
  <c r="H147"/>
  <c r="H155"/>
  <c r="H163"/>
  <c r="H171"/>
  <c r="H179"/>
  <c r="H187"/>
  <c r="H195"/>
  <c r="H203"/>
  <c r="H210"/>
  <c r="H214"/>
  <c r="H218"/>
  <c r="H222"/>
  <c r="H226"/>
  <c r="H230"/>
  <c r="H234"/>
  <c r="H238"/>
  <c r="H242"/>
  <c r="H246"/>
  <c r="H250"/>
  <c r="H254"/>
  <c r="H258"/>
  <c r="H262"/>
  <c r="H266"/>
  <c r="H270"/>
  <c r="H274"/>
  <c r="H278"/>
  <c r="H284"/>
  <c r="H288"/>
  <c r="H292"/>
  <c r="H296"/>
  <c r="H300"/>
  <c r="H304"/>
  <c r="H308"/>
  <c r="H312"/>
  <c r="H316"/>
  <c r="H320"/>
  <c r="H324"/>
  <c r="H328"/>
  <c r="H332"/>
  <c r="H336"/>
  <c r="H340"/>
  <c r="H344"/>
  <c r="H348"/>
  <c r="H352"/>
  <c r="H356"/>
  <c r="H360"/>
  <c r="H364"/>
  <c r="H368"/>
  <c r="H372"/>
  <c r="H376"/>
  <c r="G112"/>
  <c r="G175"/>
  <c r="G239"/>
  <c r="G299"/>
  <c r="G331"/>
  <c r="G350"/>
  <c r="G366"/>
  <c r="H72"/>
  <c r="H88"/>
  <c r="H104"/>
  <c r="H120"/>
  <c r="H136"/>
  <c r="H149"/>
  <c r="H157"/>
  <c r="H165"/>
  <c r="H173"/>
  <c r="H181"/>
  <c r="H189"/>
  <c r="H197"/>
  <c r="H205"/>
  <c r="H211"/>
  <c r="H215"/>
  <c r="H219"/>
  <c r="H223"/>
  <c r="H227"/>
  <c r="H231"/>
  <c r="H235"/>
  <c r="H239"/>
  <c r="H243"/>
  <c r="H247"/>
  <c r="H251"/>
  <c r="H255"/>
  <c r="H259"/>
  <c r="H263"/>
  <c r="H267"/>
  <c r="H271"/>
  <c r="H275"/>
  <c r="H279"/>
  <c r="H281"/>
  <c r="H285"/>
  <c r="H289"/>
  <c r="H293"/>
  <c r="H297"/>
  <c r="H301"/>
  <c r="H305"/>
  <c r="H309"/>
  <c r="H313"/>
  <c r="H317"/>
  <c r="H321"/>
  <c r="H325"/>
  <c r="H329"/>
  <c r="H333"/>
  <c r="H337"/>
  <c r="H341"/>
  <c r="H345"/>
  <c r="H349"/>
  <c r="H353"/>
  <c r="H357"/>
  <c r="H361"/>
  <c r="H365"/>
  <c r="H369"/>
  <c r="H373"/>
  <c r="G307"/>
  <c r="H76"/>
  <c r="H139"/>
  <c r="H175"/>
  <c r="H207"/>
  <c r="H224"/>
  <c r="H240"/>
  <c r="H256"/>
  <c r="H272"/>
  <c r="H286"/>
  <c r="H302"/>
  <c r="H318"/>
  <c r="H334"/>
  <c r="H350"/>
  <c r="H366"/>
  <c r="G128"/>
  <c r="G338"/>
  <c r="H92"/>
  <c r="H151"/>
  <c r="H183"/>
  <c r="H212"/>
  <c r="H228"/>
  <c r="H244"/>
  <c r="H260"/>
  <c r="H276"/>
  <c r="H290"/>
  <c r="H306"/>
  <c r="H322"/>
  <c r="H338"/>
  <c r="H354"/>
  <c r="H370"/>
  <c r="H220"/>
  <c r="H362"/>
  <c r="G191"/>
  <c r="G354"/>
  <c r="H108"/>
  <c r="H159"/>
  <c r="H191"/>
  <c r="H216"/>
  <c r="H232"/>
  <c r="H248"/>
  <c r="H264"/>
  <c r="H294"/>
  <c r="H310"/>
  <c r="H326"/>
  <c r="H342"/>
  <c r="H358"/>
  <c r="H374"/>
  <c r="G255"/>
  <c r="G370"/>
  <c r="H124"/>
  <c r="H167"/>
  <c r="H199"/>
  <c r="H236"/>
  <c r="H252"/>
  <c r="H268"/>
  <c r="H282"/>
  <c r="H298"/>
  <c r="H314"/>
  <c r="H330"/>
  <c r="H346"/>
  <c r="E21" i="37"/>
  <c r="E22"/>
  <c r="E23"/>
  <c r="G21"/>
  <c r="G22"/>
  <c r="G23"/>
  <c r="F378" i="35"/>
  <c r="F379"/>
  <c r="F380"/>
  <c r="I378"/>
  <c r="I379"/>
  <c r="I380"/>
  <c r="F364"/>
  <c r="F365"/>
  <c r="F366"/>
  <c r="F367"/>
  <c r="F368"/>
  <c r="F369"/>
  <c r="F370"/>
  <c r="F371"/>
  <c r="F372"/>
  <c r="F373"/>
  <c r="F374"/>
  <c r="F375"/>
  <c r="F376"/>
  <c r="F377"/>
  <c r="I364"/>
  <c r="I365"/>
  <c r="I366"/>
  <c r="I367"/>
  <c r="I368"/>
  <c r="I369"/>
  <c r="I370"/>
  <c r="I371"/>
  <c r="I372"/>
  <c r="I373"/>
  <c r="I374"/>
  <c r="I375"/>
  <c r="I376"/>
  <c r="I377"/>
  <c r="A3" i="34"/>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E231"/>
  <c r="A232"/>
  <c r="A233"/>
  <c r="A234"/>
  <c r="A235"/>
  <c r="E235"/>
  <c r="A236"/>
  <c r="A237"/>
  <c r="A238"/>
  <c r="A239"/>
  <c r="E239"/>
  <c r="A240"/>
  <c r="A241"/>
  <c r="A353"/>
  <c r="A354"/>
  <c r="E354"/>
  <c r="A355"/>
  <c r="A356"/>
  <c r="A357"/>
  <c r="A358"/>
  <c r="E358"/>
  <c r="A359"/>
  <c r="A360"/>
  <c r="A361"/>
  <c r="A362"/>
  <c r="E362"/>
  <c r="A363"/>
  <c r="A364"/>
  <c r="A365"/>
  <c r="A366"/>
  <c r="E366"/>
  <c r="A367"/>
  <c r="A368"/>
  <c r="A369"/>
  <c r="A370"/>
  <c r="E370"/>
  <c r="A371"/>
  <c r="A372"/>
  <c r="A373"/>
  <c r="A374"/>
  <c r="A375"/>
  <c r="A376"/>
  <c r="A377"/>
  <c r="A378"/>
  <c r="E378"/>
  <c r="A379"/>
  <c r="A380"/>
  <c r="A381"/>
  <c r="A382"/>
  <c r="E382"/>
  <c r="A383"/>
  <c r="A384"/>
  <c r="A385"/>
  <c r="A386"/>
  <c r="E386"/>
  <c r="A387"/>
  <c r="A388"/>
  <c r="A389"/>
  <c r="A390"/>
  <c r="E390"/>
  <c r="A391"/>
  <c r="A392"/>
  <c r="A393"/>
  <c r="A394"/>
  <c r="E394"/>
  <c r="A395"/>
  <c r="A396"/>
  <c r="A397"/>
  <c r="A398"/>
  <c r="E398"/>
  <c r="A399"/>
  <c r="A400"/>
  <c r="A401"/>
  <c r="A402"/>
  <c r="A403"/>
  <c r="A404"/>
  <c r="A405"/>
  <c r="A406"/>
  <c r="A407"/>
  <c r="A408"/>
  <c r="A409"/>
  <c r="A410"/>
  <c r="A411"/>
  <c r="A412"/>
  <c r="A413"/>
  <c r="A414"/>
  <c r="A415"/>
  <c r="A416"/>
  <c r="A417"/>
  <c r="A418"/>
  <c r="A419"/>
  <c r="A420"/>
  <c r="A421"/>
  <c r="A422"/>
  <c r="A424"/>
  <c r="A426"/>
  <c r="A427"/>
  <c r="A428"/>
  <c r="E428"/>
  <c r="A430"/>
  <c r="A431"/>
  <c r="A432"/>
  <c r="A434"/>
  <c r="E434"/>
  <c r="A435"/>
  <c r="A436"/>
  <c r="A437"/>
  <c r="A438"/>
  <c r="E438"/>
  <c r="A440"/>
  <c r="A442"/>
  <c r="A444"/>
  <c r="A446"/>
  <c r="E446"/>
  <c r="A447"/>
  <c r="A448"/>
  <c r="A451"/>
  <c r="A452"/>
  <c r="E452"/>
  <c r="A453"/>
  <c r="A454"/>
  <c r="A456"/>
  <c r="E227"/>
  <c r="E223"/>
  <c r="E219"/>
  <c r="E215"/>
  <c r="E211"/>
  <c r="E207"/>
  <c r="E199"/>
  <c r="E195"/>
  <c r="E191"/>
  <c r="E187"/>
  <c r="E183"/>
  <c r="E179"/>
  <c r="E171"/>
  <c r="E167"/>
  <c r="E175"/>
  <c r="E163"/>
  <c r="E159"/>
  <c r="E155"/>
  <c r="E151"/>
  <c r="E147"/>
  <c r="E143"/>
  <c r="E114"/>
  <c r="C137" i="1"/>
  <c r="E110" i="34"/>
  <c r="C133" i="1"/>
  <c r="E106" i="34"/>
  <c r="C129" i="1"/>
  <c r="E102" i="34"/>
  <c r="C125" i="1"/>
  <c r="E98" i="34"/>
  <c r="C121" i="1"/>
  <c r="E94" i="34"/>
  <c r="C117" i="1"/>
  <c r="E203" i="34"/>
  <c r="E233"/>
  <c r="E400"/>
  <c r="E90"/>
  <c r="C113" i="1"/>
  <c r="E86" i="34"/>
  <c r="C109" i="1"/>
  <c r="E82" i="34"/>
  <c r="C105" i="1"/>
  <c r="E58" i="34"/>
  <c r="C77" i="1"/>
  <c r="E418" i="34"/>
  <c r="E54"/>
  <c r="C73" i="1"/>
  <c r="E50" i="34"/>
  <c r="C69" i="1"/>
  <c r="E422" i="34"/>
  <c r="E374"/>
  <c r="E134"/>
  <c r="C157" i="1"/>
  <c r="E414" i="34"/>
  <c r="E402"/>
  <c r="E130"/>
  <c r="C153" i="1"/>
  <c r="E118" i="34"/>
  <c r="C141" i="1"/>
  <c r="E74" i="34"/>
  <c r="C97" i="1"/>
  <c r="E62" i="34"/>
  <c r="C81" i="1"/>
  <c r="E46" i="34"/>
  <c r="C65" i="1"/>
  <c r="E30" i="34"/>
  <c r="C49" i="1"/>
  <c r="E22" i="34"/>
  <c r="C41" i="1"/>
  <c r="E6" i="34"/>
  <c r="C25" i="1"/>
  <c r="E456" i="34"/>
  <c r="E451"/>
  <c r="E444"/>
  <c r="E437"/>
  <c r="E432"/>
  <c r="E427"/>
  <c r="E421"/>
  <c r="E417"/>
  <c r="E413"/>
  <c r="E409"/>
  <c r="E405"/>
  <c r="E401"/>
  <c r="E397"/>
  <c r="E393"/>
  <c r="E389"/>
  <c r="E385"/>
  <c r="E381"/>
  <c r="E377"/>
  <c r="E373"/>
  <c r="E369"/>
  <c r="E365"/>
  <c r="E361"/>
  <c r="E357"/>
  <c r="E353"/>
  <c r="E238"/>
  <c r="E234"/>
  <c r="E230"/>
  <c r="E226"/>
  <c r="E222"/>
  <c r="E218"/>
  <c r="E214"/>
  <c r="E210"/>
  <c r="E206"/>
  <c r="E202"/>
  <c r="E198"/>
  <c r="E194"/>
  <c r="E190"/>
  <c r="E186"/>
  <c r="E182"/>
  <c r="E178"/>
  <c r="E174"/>
  <c r="E170"/>
  <c r="E166"/>
  <c r="E162"/>
  <c r="E158"/>
  <c r="E154"/>
  <c r="E150"/>
  <c r="E146"/>
  <c r="E142"/>
  <c r="E133"/>
  <c r="C156" i="1"/>
  <c r="E129" i="34"/>
  <c r="C152" i="1"/>
  <c r="E125" i="34"/>
  <c r="C148" i="1"/>
  <c r="E121" i="34"/>
  <c r="C144" i="1"/>
  <c r="E117" i="34"/>
  <c r="C140" i="1"/>
  <c r="E113" i="34"/>
  <c r="C136" i="1"/>
  <c r="E109" i="34"/>
  <c r="C132" i="1"/>
  <c r="E105" i="34"/>
  <c r="C128" i="1"/>
  <c r="E101" i="34"/>
  <c r="C124" i="1"/>
  <c r="E97" i="34"/>
  <c r="C120" i="1"/>
  <c r="E93" i="34"/>
  <c r="C116" i="1"/>
  <c r="E89" i="34"/>
  <c r="C112" i="1"/>
  <c r="E85" i="34"/>
  <c r="C108" i="1"/>
  <c r="E81" i="34"/>
  <c r="C104" i="1"/>
  <c r="E77" i="34"/>
  <c r="C100" i="1"/>
  <c r="E73" i="34"/>
  <c r="C96" i="1"/>
  <c r="E69" i="34"/>
  <c r="C92" i="1"/>
  <c r="E65" i="34"/>
  <c r="C84" i="1"/>
  <c r="E61" i="34"/>
  <c r="C80" i="1"/>
  <c r="E57" i="34"/>
  <c r="C76" i="1"/>
  <c r="E53" i="34"/>
  <c r="C72" i="1"/>
  <c r="E49" i="34"/>
  <c r="C68" i="1"/>
  <c r="E45" i="34"/>
  <c r="C64" i="1"/>
  <c r="E41" i="34"/>
  <c r="C60" i="1"/>
  <c r="E37" i="34"/>
  <c r="C56" i="1"/>
  <c r="E33" i="34"/>
  <c r="C52" i="1"/>
  <c r="E29" i="34"/>
  <c r="C48" i="1"/>
  <c r="E25" i="34"/>
  <c r="C44" i="1"/>
  <c r="E21" i="34"/>
  <c r="C40" i="1"/>
  <c r="E17" i="34"/>
  <c r="C36" i="1"/>
  <c r="E13" i="34"/>
  <c r="C32" i="1"/>
  <c r="E9" i="34"/>
  <c r="C28" i="1"/>
  <c r="E5" i="34"/>
  <c r="C24" i="1"/>
  <c r="E126" i="34"/>
  <c r="C149" i="1"/>
  <c r="E70" i="34"/>
  <c r="C93" i="1"/>
  <c r="E38" i="34"/>
  <c r="C57" i="1"/>
  <c r="E26" i="34"/>
  <c r="C45" i="1"/>
  <c r="E14" i="34"/>
  <c r="C33" i="1"/>
  <c r="E448" i="34"/>
  <c r="E436"/>
  <c r="E426"/>
  <c r="E416"/>
  <c r="E408"/>
  <c r="E404"/>
  <c r="E396"/>
  <c r="E392"/>
  <c r="E388"/>
  <c r="E384"/>
  <c r="E380"/>
  <c r="E376"/>
  <c r="E372"/>
  <c r="E368"/>
  <c r="E364"/>
  <c r="E360"/>
  <c r="E356"/>
  <c r="E241"/>
  <c r="E237"/>
  <c r="E136"/>
  <c r="C159" i="1"/>
  <c r="E139" i="34"/>
  <c r="C162" i="1"/>
  <c r="E229" i="34"/>
  <c r="E135"/>
  <c r="C158" i="1"/>
  <c r="I85" i="8"/>
  <c r="I84"/>
  <c r="C161" i="1"/>
  <c r="I83" i="8"/>
  <c r="E439" i="34"/>
  <c r="E423"/>
  <c r="E429"/>
  <c r="E425"/>
  <c r="E443"/>
  <c r="E433"/>
  <c r="E441"/>
  <c r="E455"/>
  <c r="E445"/>
  <c r="E450"/>
  <c r="E333"/>
  <c r="E329"/>
  <c r="E337"/>
  <c r="E330"/>
  <c r="E336"/>
  <c r="E335"/>
  <c r="E325"/>
  <c r="E326"/>
  <c r="E332"/>
  <c r="E331"/>
  <c r="E280"/>
  <c r="E328"/>
  <c r="E327"/>
  <c r="E334"/>
  <c r="E244"/>
  <c r="E349"/>
  <c r="C85" i="8"/>
  <c r="E304" i="34"/>
  <c r="E243"/>
  <c r="E260"/>
  <c r="E270"/>
  <c r="E348"/>
  <c r="C84" i="8"/>
  <c r="E319" i="34"/>
  <c r="E303"/>
  <c r="E291"/>
  <c r="E320"/>
  <c r="E246"/>
  <c r="E263"/>
  <c r="C144" i="2"/>
  <c r="E273" i="34"/>
  <c r="E351"/>
  <c r="E322"/>
  <c r="E306"/>
  <c r="E261"/>
  <c r="E341"/>
  <c r="E252"/>
  <c r="E254"/>
  <c r="E283"/>
  <c r="E342"/>
  <c r="E313"/>
  <c r="E297"/>
  <c r="E266"/>
  <c r="E278"/>
  <c r="E309"/>
  <c r="E274"/>
  <c r="E307"/>
  <c r="E250"/>
  <c r="E279"/>
  <c r="E293"/>
  <c r="E294"/>
  <c r="E346"/>
  <c r="E301"/>
  <c r="E265"/>
  <c r="E324"/>
  <c r="E296"/>
  <c r="E292"/>
  <c r="E256"/>
  <c r="E285"/>
  <c r="E344"/>
  <c r="E315"/>
  <c r="E299"/>
  <c r="E257"/>
  <c r="E312"/>
  <c r="E242"/>
  <c r="E259"/>
  <c r="E269"/>
  <c r="E347"/>
  <c r="C83" i="8"/>
  <c r="E318" i="34"/>
  <c r="E302"/>
  <c r="E289"/>
  <c r="E249"/>
  <c r="E276"/>
  <c r="E338"/>
  <c r="E352"/>
  <c r="E248"/>
  <c r="E267"/>
  <c r="E310"/>
  <c r="E258"/>
  <c r="E317"/>
  <c r="E275"/>
  <c r="E316"/>
  <c r="E251"/>
  <c r="E290"/>
  <c r="E288"/>
  <c r="E281"/>
  <c r="E340"/>
  <c r="E311"/>
  <c r="E295"/>
  <c r="E282"/>
  <c r="E300"/>
  <c r="E253"/>
  <c r="E255"/>
  <c r="E284"/>
  <c r="E343"/>
  <c r="E314"/>
  <c r="E298"/>
  <c r="E286"/>
  <c r="E245"/>
  <c r="E262"/>
  <c r="E272"/>
  <c r="E350"/>
  <c r="E321"/>
  <c r="E305"/>
  <c r="E271"/>
  <c r="E308"/>
  <c r="E247"/>
  <c r="E264"/>
  <c r="E323"/>
  <c r="E345"/>
  <c r="E287"/>
  <c r="E339"/>
  <c r="E277"/>
  <c r="E268"/>
  <c r="E225"/>
  <c r="E221"/>
  <c r="E217"/>
  <c r="E213"/>
  <c r="E209"/>
  <c r="E205"/>
  <c r="E201"/>
  <c r="E197"/>
  <c r="E193"/>
  <c r="E189"/>
  <c r="E185"/>
  <c r="E181"/>
  <c r="E177"/>
  <c r="E173"/>
  <c r="E169"/>
  <c r="E165"/>
  <c r="E161"/>
  <c r="E157"/>
  <c r="E153"/>
  <c r="E149"/>
  <c r="E145"/>
  <c r="E141"/>
  <c r="E132"/>
  <c r="C155" i="1"/>
  <c r="E128" i="34"/>
  <c r="C151" i="1"/>
  <c r="E124" i="34"/>
  <c r="C147" i="1"/>
  <c r="E120" i="34"/>
  <c r="C143" i="1"/>
  <c r="E116" i="34"/>
  <c r="C139" i="1"/>
  <c r="E112" i="34"/>
  <c r="C135" i="1"/>
  <c r="E108" i="34"/>
  <c r="C131" i="1"/>
  <c r="E104" i="34"/>
  <c r="C127" i="1"/>
  <c r="E100" i="34"/>
  <c r="C123" i="1"/>
  <c r="E96" i="34"/>
  <c r="C119" i="1"/>
  <c r="E92" i="34"/>
  <c r="C115" i="1"/>
  <c r="E88" i="34"/>
  <c r="C111" i="1"/>
  <c r="E84" i="34"/>
  <c r="C107" i="1"/>
  <c r="E80" i="34"/>
  <c r="C103" i="1"/>
  <c r="E76" i="34"/>
  <c r="C99" i="1"/>
  <c r="E72" i="34"/>
  <c r="C95" i="1"/>
  <c r="E68" i="34"/>
  <c r="C87" i="1"/>
  <c r="E64" i="34"/>
  <c r="C83" i="1"/>
  <c r="E60" i="34"/>
  <c r="C79" i="1"/>
  <c r="E56" i="34"/>
  <c r="C75" i="1"/>
  <c r="E52" i="34"/>
  <c r="C71" i="1"/>
  <c r="E48" i="34"/>
  <c r="C67" i="1"/>
  <c r="E44" i="34"/>
  <c r="C63" i="1"/>
  <c r="E40" i="34"/>
  <c r="C59" i="1"/>
  <c r="E36" i="34"/>
  <c r="C55" i="1"/>
  <c r="E32" i="34"/>
  <c r="C51" i="1"/>
  <c r="E28" i="34"/>
  <c r="C47" i="1"/>
  <c r="E24" i="34"/>
  <c r="C43" i="1"/>
  <c r="E20" i="34"/>
  <c r="C39" i="1"/>
  <c r="E16" i="34"/>
  <c r="C35" i="1"/>
  <c r="E12" i="34"/>
  <c r="C31" i="1"/>
  <c r="E8" i="34"/>
  <c r="C27" i="1"/>
  <c r="E4" i="34"/>
  <c r="C23" i="1"/>
  <c r="E410" i="34"/>
  <c r="E406"/>
  <c r="E122"/>
  <c r="C145" i="1"/>
  <c r="E78" i="34"/>
  <c r="C101" i="1"/>
  <c r="E66" i="34"/>
  <c r="C85" i="1"/>
  <c r="E42" i="34"/>
  <c r="C61" i="1"/>
  <c r="E34" i="34"/>
  <c r="C53" i="1"/>
  <c r="E18" i="34"/>
  <c r="C37" i="1"/>
  <c r="E10" i="34"/>
  <c r="C29" i="1"/>
  <c r="E454" i="34"/>
  <c r="E442"/>
  <c r="E431"/>
  <c r="E420"/>
  <c r="E412"/>
  <c r="E453"/>
  <c r="E447"/>
  <c r="E440"/>
  <c r="E435"/>
  <c r="E430"/>
  <c r="E424"/>
  <c r="E419"/>
  <c r="E415"/>
  <c r="E411"/>
  <c r="E407"/>
  <c r="E403"/>
  <c r="E399"/>
  <c r="E395"/>
  <c r="E391"/>
  <c r="E387"/>
  <c r="E383"/>
  <c r="E379"/>
  <c r="E375"/>
  <c r="E371"/>
  <c r="E367"/>
  <c r="E363"/>
  <c r="E359"/>
  <c r="E355"/>
  <c r="E240"/>
  <c r="E236"/>
  <c r="E232"/>
  <c r="E228"/>
  <c r="E224"/>
  <c r="E220"/>
  <c r="E216"/>
  <c r="E212"/>
  <c r="E208"/>
  <c r="E204"/>
  <c r="E200"/>
  <c r="E196"/>
  <c r="E192"/>
  <c r="E188"/>
  <c r="E184"/>
  <c r="E180"/>
  <c r="E176"/>
  <c r="E172"/>
  <c r="E168"/>
  <c r="E164"/>
  <c r="E160"/>
  <c r="E156"/>
  <c r="E152"/>
  <c r="E148"/>
  <c r="E144"/>
  <c r="E140"/>
  <c r="E131"/>
  <c r="C154" i="1"/>
  <c r="E127" i="34"/>
  <c r="C150" i="1"/>
  <c r="E123" i="34"/>
  <c r="C146" i="1"/>
  <c r="E119" i="34"/>
  <c r="C142" i="1"/>
  <c r="E115" i="34"/>
  <c r="C138" i="1"/>
  <c r="E111" i="34"/>
  <c r="C134" i="1"/>
  <c r="E107" i="34"/>
  <c r="C130" i="1"/>
  <c r="E103" i="34"/>
  <c r="C126" i="1"/>
  <c r="E99" i="34"/>
  <c r="C122" i="1"/>
  <c r="E95" i="34"/>
  <c r="C118" i="1"/>
  <c r="E91" i="34"/>
  <c r="C114" i="1"/>
  <c r="E87" i="34"/>
  <c r="C110" i="1"/>
  <c r="E83" i="34"/>
  <c r="C106" i="1"/>
  <c r="E79" i="34"/>
  <c r="C102" i="1"/>
  <c r="E75" i="34"/>
  <c r="C98" i="1"/>
  <c r="E71" i="34"/>
  <c r="C94" i="1"/>
  <c r="E63" i="34"/>
  <c r="C82" i="1"/>
  <c r="E59" i="34"/>
  <c r="C78" i="1"/>
  <c r="E55" i="34"/>
  <c r="C74" i="1"/>
  <c r="E51" i="34"/>
  <c r="C70" i="1"/>
  <c r="E47" i="34"/>
  <c r="C66" i="1"/>
  <c r="E43" i="34"/>
  <c r="C62" i="1"/>
  <c r="E39" i="34"/>
  <c r="C58" i="1"/>
  <c r="E35" i="34"/>
  <c r="C54" i="1"/>
  <c r="E31" i="34"/>
  <c r="C50" i="1"/>
  <c r="E27" i="34"/>
  <c r="C46" i="1"/>
  <c r="E23" i="34"/>
  <c r="C42" i="1"/>
  <c r="E19" i="34"/>
  <c r="C38" i="1"/>
  <c r="E15" i="34"/>
  <c r="C34" i="1"/>
  <c r="E11" i="34"/>
  <c r="C30" i="1"/>
  <c r="E7" i="34"/>
  <c r="C26" i="1"/>
  <c r="G44" i="10"/>
  <c r="G48"/>
  <c r="G52"/>
  <c r="G45"/>
  <c r="G49"/>
  <c r="G42"/>
  <c r="G46"/>
  <c r="G50"/>
  <c r="G43"/>
  <c r="G47"/>
  <c r="G51"/>
  <c r="F455" i="34"/>
  <c r="F449"/>
  <c r="F450"/>
  <c r="F445"/>
  <c r="F443"/>
  <c r="F441"/>
  <c r="F439"/>
  <c r="F433"/>
  <c r="F429"/>
  <c r="F425"/>
  <c r="F423"/>
  <c r="I72" i="8"/>
  <c r="I76"/>
  <c r="I80"/>
  <c r="I87"/>
  <c r="I69"/>
  <c r="I73"/>
  <c r="I77"/>
  <c r="I81"/>
  <c r="I88"/>
  <c r="I70"/>
  <c r="I74"/>
  <c r="I78"/>
  <c r="I82"/>
  <c r="I71"/>
  <c r="I75"/>
  <c r="I79"/>
  <c r="I86"/>
  <c r="I38" i="36"/>
  <c r="I138" i="2"/>
  <c r="I142"/>
  <c r="F333" i="34"/>
  <c r="I140" i="2"/>
  <c r="F328" i="34"/>
  <c r="F332"/>
  <c r="F336"/>
  <c r="I39" i="36"/>
  <c r="I139" i="2"/>
  <c r="I143"/>
  <c r="F325" i="34"/>
  <c r="I40" i="36"/>
  <c r="I136" i="2"/>
  <c r="F326" i="34"/>
  <c r="F330"/>
  <c r="F334"/>
  <c r="I37" i="36"/>
  <c r="I41"/>
  <c r="I137" i="2"/>
  <c r="I141"/>
  <c r="F329" i="34"/>
  <c r="F337"/>
  <c r="I144" i="2"/>
  <c r="F327" i="34"/>
  <c r="F335"/>
  <c r="F331"/>
  <c r="F280"/>
  <c r="F300"/>
  <c r="F297"/>
  <c r="F295"/>
  <c r="F299"/>
  <c r="F296"/>
  <c r="F298"/>
  <c r="F301"/>
  <c r="F305"/>
  <c r="F309"/>
  <c r="F304"/>
  <c r="F303"/>
  <c r="F307"/>
  <c r="F311"/>
  <c r="F308"/>
  <c r="F302"/>
  <c r="F306"/>
  <c r="F310"/>
  <c r="F314"/>
  <c r="F319"/>
  <c r="F317"/>
  <c r="F320"/>
  <c r="F313"/>
  <c r="F318"/>
  <c r="F323"/>
  <c r="F341"/>
  <c r="F338"/>
  <c r="F324"/>
  <c r="F315"/>
  <c r="F312"/>
  <c r="F339"/>
  <c r="F316"/>
  <c r="F340"/>
  <c r="F322"/>
  <c r="F321"/>
  <c r="F350"/>
  <c r="F349"/>
  <c r="D85" i="8"/>
  <c r="F348" i="34"/>
  <c r="D84" i="8"/>
  <c r="F342" i="34"/>
  <c r="F343"/>
  <c r="F345"/>
  <c r="F346"/>
  <c r="F351"/>
  <c r="F352"/>
  <c r="F347"/>
  <c r="D83" i="8"/>
  <c r="F344" i="34"/>
  <c r="F284"/>
  <c r="F279"/>
  <c r="F283"/>
  <c r="F278"/>
  <c r="F277"/>
  <c r="F282"/>
  <c r="F281"/>
  <c r="F286"/>
  <c r="F285"/>
  <c r="F271"/>
  <c r="F268"/>
  <c r="F273"/>
  <c r="F272"/>
  <c r="F270"/>
  <c r="F269"/>
  <c r="F287"/>
  <c r="F276"/>
  <c r="F289"/>
  <c r="F275"/>
  <c r="F274"/>
  <c r="F288"/>
  <c r="F265"/>
  <c r="F257"/>
  <c r="F260"/>
  <c r="F263"/>
  <c r="F255"/>
  <c r="F258"/>
  <c r="F261"/>
  <c r="F264"/>
  <c r="F256"/>
  <c r="F259"/>
  <c r="F262"/>
  <c r="F254"/>
  <c r="F291"/>
  <c r="F290"/>
  <c r="F266"/>
  <c r="F267"/>
  <c r="F293"/>
  <c r="F253"/>
  <c r="F292"/>
  <c r="F294"/>
  <c r="F252"/>
  <c r="F244"/>
  <c r="F243"/>
  <c r="F245"/>
  <c r="F242"/>
  <c r="F246"/>
  <c r="F247"/>
  <c r="F248"/>
  <c r="F249"/>
  <c r="F250"/>
  <c r="I22" i="2"/>
  <c r="F251" i="34"/>
  <c r="I27" i="2"/>
  <c r="I25"/>
  <c r="I24"/>
  <c r="I23"/>
  <c r="I28"/>
  <c r="I26"/>
  <c r="I93"/>
  <c r="I109"/>
  <c r="I125"/>
  <c r="I76"/>
  <c r="I66"/>
  <c r="I52"/>
  <c r="I34"/>
  <c r="I82"/>
  <c r="I98"/>
  <c r="I114"/>
  <c r="I88"/>
  <c r="I120"/>
  <c r="I77"/>
  <c r="I42"/>
  <c r="I29"/>
  <c r="I119"/>
  <c r="I99"/>
  <c r="I127"/>
  <c r="I57"/>
  <c r="I49"/>
  <c r="I124"/>
  <c r="I33"/>
  <c r="I108"/>
  <c r="I134"/>
  <c r="I64"/>
  <c r="I21"/>
  <c r="I130"/>
  <c r="I138" i="1"/>
  <c r="I154"/>
  <c r="I107"/>
  <c r="I123"/>
  <c r="I133"/>
  <c r="I118"/>
  <c r="I161"/>
  <c r="I143"/>
  <c r="I96"/>
  <c r="I112"/>
  <c r="I128"/>
  <c r="I98"/>
  <c r="I158"/>
  <c r="I140"/>
  <c r="I156"/>
  <c r="I109"/>
  <c r="I125"/>
  <c r="I153"/>
  <c r="I81" i="2"/>
  <c r="I97"/>
  <c r="I113"/>
  <c r="I129"/>
  <c r="I54"/>
  <c r="I40"/>
  <c r="I38"/>
  <c r="I86"/>
  <c r="I102"/>
  <c r="I118"/>
  <c r="I96"/>
  <c r="I126"/>
  <c r="I56"/>
  <c r="I47"/>
  <c r="I35"/>
  <c r="I70"/>
  <c r="I39"/>
  <c r="I107"/>
  <c r="I132"/>
  <c r="I63"/>
  <c r="I75"/>
  <c r="I84"/>
  <c r="I116"/>
  <c r="I74"/>
  <c r="I69"/>
  <c r="I55"/>
  <c r="I160" i="1"/>
  <c r="I142"/>
  <c r="I95"/>
  <c r="I111"/>
  <c r="I127"/>
  <c r="I145"/>
  <c r="I92"/>
  <c r="I131"/>
  <c r="I147"/>
  <c r="I100"/>
  <c r="I116"/>
  <c r="I129"/>
  <c r="I114"/>
  <c r="I162"/>
  <c r="I144"/>
  <c r="I97"/>
  <c r="I113"/>
  <c r="I93"/>
  <c r="I102"/>
  <c r="I105" i="2"/>
  <c r="I72"/>
  <c r="I48"/>
  <c r="I135"/>
  <c r="I94"/>
  <c r="I80"/>
  <c r="I71"/>
  <c r="I41"/>
  <c r="I122"/>
  <c r="I103"/>
  <c r="I85"/>
  <c r="I101"/>
  <c r="I117"/>
  <c r="I133"/>
  <c r="I58"/>
  <c r="I44"/>
  <c r="I90"/>
  <c r="I106"/>
  <c r="I104"/>
  <c r="I131"/>
  <c r="I61"/>
  <c r="I53"/>
  <c r="I36"/>
  <c r="I60"/>
  <c r="I83"/>
  <c r="I115"/>
  <c r="I73"/>
  <c r="I68"/>
  <c r="I31"/>
  <c r="I65"/>
  <c r="I92"/>
  <c r="I123"/>
  <c r="I79"/>
  <c r="I45"/>
  <c r="I32"/>
  <c r="I87"/>
  <c r="I46"/>
  <c r="I130" i="1"/>
  <c r="I146"/>
  <c r="I99"/>
  <c r="I115"/>
  <c r="I94"/>
  <c r="I135"/>
  <c r="I151"/>
  <c r="I104"/>
  <c r="I120"/>
  <c r="I141"/>
  <c r="I126"/>
  <c r="I132"/>
  <c r="I148"/>
  <c r="I101"/>
  <c r="I117"/>
  <c r="I110"/>
  <c r="I89" i="2"/>
  <c r="I121"/>
  <c r="I62"/>
  <c r="I30"/>
  <c r="I110"/>
  <c r="I112"/>
  <c r="I67"/>
  <c r="I95"/>
  <c r="I91"/>
  <c r="I78"/>
  <c r="I43"/>
  <c r="I59"/>
  <c r="I119" i="1"/>
  <c r="I139"/>
  <c r="I149"/>
  <c r="I105"/>
  <c r="I51" i="2"/>
  <c r="I50"/>
  <c r="I134" i="1"/>
  <c r="I159"/>
  <c r="I155"/>
  <c r="I121"/>
  <c r="I100" i="2"/>
  <c r="I37"/>
  <c r="I150" i="1"/>
  <c r="I106"/>
  <c r="I108"/>
  <c r="I136"/>
  <c r="I137"/>
  <c r="I128" i="2"/>
  <c r="I111"/>
  <c r="I103" i="1"/>
  <c r="I157"/>
  <c r="I124"/>
  <c r="I152"/>
  <c r="I122"/>
  <c r="F238" i="34"/>
  <c r="F234"/>
  <c r="F230"/>
  <c r="I33" i="1"/>
  <c r="I49"/>
  <c r="I65"/>
  <c r="I81"/>
  <c r="I32"/>
  <c r="I60"/>
  <c r="I26"/>
  <c r="I42"/>
  <c r="I58"/>
  <c r="I74"/>
  <c r="I36"/>
  <c r="I76"/>
  <c r="I35"/>
  <c r="I51"/>
  <c r="I67"/>
  <c r="I83"/>
  <c r="I37"/>
  <c r="I53"/>
  <c r="I69"/>
  <c r="I85"/>
  <c r="I40"/>
  <c r="I72"/>
  <c r="I30"/>
  <c r="I46"/>
  <c r="I62"/>
  <c r="I78"/>
  <c r="I44"/>
  <c r="I23"/>
  <c r="I39"/>
  <c r="I55"/>
  <c r="I71"/>
  <c r="I87"/>
  <c r="I25"/>
  <c r="I41"/>
  <c r="I57"/>
  <c r="I73"/>
  <c r="I86"/>
  <c r="I48"/>
  <c r="I84"/>
  <c r="I34"/>
  <c r="I50"/>
  <c r="I66"/>
  <c r="I82"/>
  <c r="I52"/>
  <c r="I27"/>
  <c r="I43"/>
  <c r="I59"/>
  <c r="I75"/>
  <c r="I68"/>
  <c r="I29"/>
  <c r="I45"/>
  <c r="I61"/>
  <c r="I77"/>
  <c r="I28"/>
  <c r="I56"/>
  <c r="I38"/>
  <c r="I54"/>
  <c r="I70"/>
  <c r="I24"/>
  <c r="I64"/>
  <c r="I31"/>
  <c r="I47"/>
  <c r="I63"/>
  <c r="I79"/>
  <c r="I80"/>
  <c r="F241" i="34"/>
  <c r="F237"/>
  <c r="F233"/>
  <c r="F229"/>
  <c r="F240"/>
  <c r="F236"/>
  <c r="F232"/>
  <c r="F228"/>
  <c r="F239"/>
  <c r="F235"/>
  <c r="F231"/>
  <c r="F136"/>
  <c r="F135"/>
  <c r="F137"/>
  <c r="F138"/>
  <c r="F139"/>
  <c r="F53"/>
  <c r="F452"/>
  <c r="F21"/>
  <c r="F386"/>
  <c r="F185"/>
  <c r="F120"/>
  <c r="F64"/>
  <c r="F56"/>
  <c r="F24"/>
  <c r="F193"/>
  <c r="F161"/>
  <c r="F370"/>
  <c r="F220"/>
  <c r="F164"/>
  <c r="F112"/>
  <c r="F40"/>
  <c r="F128"/>
  <c r="F177"/>
  <c r="F169"/>
  <c r="F145"/>
  <c r="F133"/>
  <c r="F109"/>
  <c r="F101"/>
  <c r="F77"/>
  <c r="F69"/>
  <c r="F37"/>
  <c r="F5"/>
  <c r="F29"/>
  <c r="F61"/>
  <c r="F93"/>
  <c r="F125"/>
  <c r="F418"/>
  <c r="F358"/>
  <c r="F96"/>
  <c r="F85"/>
  <c r="F117"/>
  <c r="F153"/>
  <c r="F366"/>
  <c r="F221"/>
  <c r="F13"/>
  <c r="F45"/>
  <c r="F453"/>
  <c r="F447"/>
  <c r="F435"/>
  <c r="F430"/>
  <c r="F419"/>
  <c r="F411"/>
  <c r="F407"/>
  <c r="F399"/>
  <c r="F391"/>
  <c r="F383"/>
  <c r="F371"/>
  <c r="F363"/>
  <c r="F359"/>
  <c r="F225"/>
  <c r="F201"/>
  <c r="F217"/>
  <c r="F398"/>
  <c r="F436"/>
  <c r="F434"/>
  <c r="F80"/>
  <c r="F140"/>
  <c r="F148"/>
  <c r="F188"/>
  <c r="F196"/>
  <c r="F451"/>
  <c r="F437"/>
  <c r="F427"/>
  <c r="F417"/>
  <c r="F409"/>
  <c r="F401"/>
  <c r="F393"/>
  <c r="F385"/>
  <c r="F377"/>
  <c r="F369"/>
  <c r="F361"/>
  <c r="F353"/>
  <c r="F223"/>
  <c r="F211"/>
  <c r="F203"/>
  <c r="F195"/>
  <c r="F187"/>
  <c r="F183"/>
  <c r="F175"/>
  <c r="F167"/>
  <c r="F155"/>
  <c r="F147"/>
  <c r="F127"/>
  <c r="F119"/>
  <c r="F111"/>
  <c r="F103"/>
  <c r="F95"/>
  <c r="F87"/>
  <c r="F79"/>
  <c r="F55"/>
  <c r="F47"/>
  <c r="F43"/>
  <c r="F35"/>
  <c r="F27"/>
  <c r="F23"/>
  <c r="F19"/>
  <c r="F15"/>
  <c r="F11"/>
  <c r="F7"/>
  <c r="F9"/>
  <c r="F17"/>
  <c r="F25"/>
  <c r="F33"/>
  <c r="F41"/>
  <c r="F49"/>
  <c r="F57"/>
  <c r="F65"/>
  <c r="F73"/>
  <c r="F81"/>
  <c r="F89"/>
  <c r="F97"/>
  <c r="F105"/>
  <c r="F113"/>
  <c r="F121"/>
  <c r="F129"/>
  <c r="F141"/>
  <c r="F149"/>
  <c r="F157"/>
  <c r="F165"/>
  <c r="F173"/>
  <c r="F181"/>
  <c r="F189"/>
  <c r="F197"/>
  <c r="F205"/>
  <c r="F213"/>
  <c r="F374"/>
  <c r="F390"/>
  <c r="F406"/>
  <c r="F422"/>
  <c r="F415"/>
  <c r="F403"/>
  <c r="F395"/>
  <c r="F387"/>
  <c r="F379"/>
  <c r="F375"/>
  <c r="F367"/>
  <c r="F355"/>
  <c r="F209"/>
  <c r="F382"/>
  <c r="F414"/>
  <c r="F8"/>
  <c r="F16"/>
  <c r="F32"/>
  <c r="F48"/>
  <c r="F72"/>
  <c r="F88"/>
  <c r="F104"/>
  <c r="F156"/>
  <c r="F172"/>
  <c r="F180"/>
  <c r="F204"/>
  <c r="F212"/>
  <c r="F354"/>
  <c r="F402"/>
  <c r="F446"/>
  <c r="F421"/>
  <c r="F413"/>
  <c r="F405"/>
  <c r="F397"/>
  <c r="F389"/>
  <c r="F381"/>
  <c r="F373"/>
  <c r="F365"/>
  <c r="F357"/>
  <c r="F227"/>
  <c r="F219"/>
  <c r="F215"/>
  <c r="F207"/>
  <c r="F199"/>
  <c r="F191"/>
  <c r="F179"/>
  <c r="F171"/>
  <c r="F163"/>
  <c r="F159"/>
  <c r="F151"/>
  <c r="F143"/>
  <c r="F131"/>
  <c r="F123"/>
  <c r="F115"/>
  <c r="F107"/>
  <c r="F99"/>
  <c r="F91"/>
  <c r="F83"/>
  <c r="F75"/>
  <c r="F71"/>
  <c r="F67"/>
  <c r="F63"/>
  <c r="F59"/>
  <c r="F51"/>
  <c r="F39"/>
  <c r="F31"/>
  <c r="F454"/>
  <c r="F448"/>
  <c r="F442"/>
  <c r="F426"/>
  <c r="F420"/>
  <c r="F416"/>
  <c r="F412"/>
  <c r="F408"/>
  <c r="F404"/>
  <c r="F400"/>
  <c r="F396"/>
  <c r="F392"/>
  <c r="F388"/>
  <c r="F384"/>
  <c r="F380"/>
  <c r="F376"/>
  <c r="F372"/>
  <c r="F368"/>
  <c r="F364"/>
  <c r="F360"/>
  <c r="F356"/>
  <c r="F226"/>
  <c r="F222"/>
  <c r="F218"/>
  <c r="F214"/>
  <c r="F210"/>
  <c r="F206"/>
  <c r="F202"/>
  <c r="F198"/>
  <c r="F194"/>
  <c r="F190"/>
  <c r="F186"/>
  <c r="F182"/>
  <c r="F178"/>
  <c r="F174"/>
  <c r="F170"/>
  <c r="F166"/>
  <c r="F162"/>
  <c r="F158"/>
  <c r="F154"/>
  <c r="F150"/>
  <c r="F146"/>
  <c r="F142"/>
  <c r="F134"/>
  <c r="F130"/>
  <c r="F126"/>
  <c r="F122"/>
  <c r="F118"/>
  <c r="F114"/>
  <c r="F110"/>
  <c r="F106"/>
  <c r="F102"/>
  <c r="F98"/>
  <c r="F94"/>
  <c r="F90"/>
  <c r="F86"/>
  <c r="F82"/>
  <c r="F78"/>
  <c r="F74"/>
  <c r="F70"/>
  <c r="F66"/>
  <c r="F62"/>
  <c r="F58"/>
  <c r="F54"/>
  <c r="F50"/>
  <c r="F46"/>
  <c r="F42"/>
  <c r="F38"/>
  <c r="F34"/>
  <c r="F30"/>
  <c r="F26"/>
  <c r="F22"/>
  <c r="F18"/>
  <c r="F14"/>
  <c r="F10"/>
  <c r="F4"/>
  <c r="F12"/>
  <c r="F20"/>
  <c r="F28"/>
  <c r="F36"/>
  <c r="F44"/>
  <c r="F52"/>
  <c r="F60"/>
  <c r="F68"/>
  <c r="F76"/>
  <c r="F84"/>
  <c r="F92"/>
  <c r="F100"/>
  <c r="F108"/>
  <c r="F116"/>
  <c r="F124"/>
  <c r="F132"/>
  <c r="F144"/>
  <c r="F152"/>
  <c r="F160"/>
  <c r="F168"/>
  <c r="F176"/>
  <c r="F184"/>
  <c r="F192"/>
  <c r="F200"/>
  <c r="F208"/>
  <c r="F216"/>
  <c r="F224"/>
  <c r="F362"/>
  <c r="F378"/>
  <c r="F394"/>
  <c r="F410"/>
  <c r="F431"/>
  <c r="F6"/>
  <c r="I36" i="36"/>
  <c r="I35"/>
  <c r="I34"/>
  <c r="I33"/>
  <c r="I32"/>
  <c r="I31"/>
  <c r="I30"/>
  <c r="I29"/>
  <c r="I28"/>
  <c r="I27"/>
  <c r="I26"/>
  <c r="I25"/>
  <c r="I24"/>
  <c r="I23"/>
  <c r="I22"/>
  <c r="I21"/>
  <c r="I68" i="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K69" i="14"/>
  <c r="J69"/>
  <c r="K59"/>
  <c r="K39"/>
  <c r="J39"/>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C88" i="8"/>
  <c r="D45" i="10"/>
  <c r="D162" i="1"/>
  <c r="D160"/>
  <c r="D136" i="2"/>
  <c r="C136"/>
  <c r="D40" i="36"/>
  <c r="D87" i="8"/>
  <c r="C87"/>
  <c r="D78"/>
  <c r="C78"/>
  <c r="D74"/>
  <c r="C74"/>
  <c r="D70"/>
  <c r="C70"/>
  <c r="D48" i="10"/>
  <c r="D50"/>
  <c r="D143" i="2"/>
  <c r="C143"/>
  <c r="D142"/>
  <c r="C142"/>
  <c r="D82" i="8"/>
  <c r="C82"/>
  <c r="D81"/>
  <c r="C81"/>
  <c r="D86"/>
  <c r="C86"/>
  <c r="D76"/>
  <c r="C76"/>
  <c r="D77"/>
  <c r="C77"/>
  <c r="D72"/>
  <c r="C72"/>
  <c r="D51" i="10"/>
  <c r="D43"/>
  <c r="D49"/>
  <c r="D161" i="1"/>
  <c r="D159"/>
  <c r="D140" i="2"/>
  <c r="C140"/>
  <c r="D141"/>
  <c r="C141"/>
  <c r="D73" i="8"/>
  <c r="C73"/>
  <c r="D42" i="10"/>
  <c r="D46"/>
  <c r="D44"/>
  <c r="D137" i="2"/>
  <c r="C137"/>
  <c r="D139"/>
  <c r="C139"/>
  <c r="D138"/>
  <c r="C138"/>
  <c r="D80" i="8"/>
  <c r="C80"/>
  <c r="D79"/>
  <c r="C79"/>
  <c r="D75"/>
  <c r="C75"/>
  <c r="D60"/>
  <c r="D71"/>
  <c r="C71"/>
  <c r="D69"/>
  <c r="C69"/>
  <c r="D47" i="10"/>
  <c r="D52"/>
  <c r="F341" i="35"/>
  <c r="I341"/>
  <c r="F273"/>
  <c r="I273"/>
  <c r="F250"/>
  <c r="I250"/>
  <c r="F247"/>
  <c r="I247"/>
  <c r="F223"/>
  <c r="I223"/>
  <c r="F220"/>
  <c r="I220"/>
  <c r="F217"/>
  <c r="I217"/>
  <c r="F195"/>
  <c r="I195"/>
  <c r="F172"/>
  <c r="I172"/>
  <c r="F158"/>
  <c r="I158"/>
  <c r="F129"/>
  <c r="I129"/>
  <c r="F66"/>
  <c r="I66"/>
  <c r="H41" i="31"/>
  <c r="I41"/>
  <c r="C10" i="33"/>
  <c r="C14" i="2"/>
  <c r="M84" i="1"/>
  <c r="M82"/>
  <c r="M81"/>
  <c r="M80"/>
  <c r="M79"/>
  <c r="M78"/>
  <c r="M76"/>
  <c r="M75"/>
  <c r="M74"/>
  <c r="M72"/>
  <c r="M71"/>
  <c r="M70"/>
  <c r="M69"/>
  <c r="M67"/>
  <c r="M66"/>
  <c r="M63"/>
  <c r="M62"/>
  <c r="M59"/>
  <c r="M58"/>
  <c r="M57"/>
  <c r="M55"/>
  <c r="M54"/>
  <c r="M51"/>
  <c r="M49"/>
  <c r="M48"/>
  <c r="M47"/>
  <c r="M46"/>
  <c r="M44"/>
  <c r="M43"/>
  <c r="M41"/>
  <c r="M40"/>
  <c r="M39"/>
  <c r="M38"/>
  <c r="M35"/>
  <c r="M27"/>
  <c r="M26"/>
  <c r="M25"/>
  <c r="M24"/>
  <c r="F356" i="35"/>
  <c r="F357"/>
  <c r="F358"/>
  <c r="F359"/>
  <c r="F360"/>
  <c r="F361"/>
  <c r="F362"/>
  <c r="F363"/>
  <c r="I356"/>
  <c r="I357"/>
  <c r="I358"/>
  <c r="I359"/>
  <c r="I360"/>
  <c r="I361"/>
  <c r="I362"/>
  <c r="I363"/>
  <c r="M128" i="1"/>
  <c r="M123"/>
  <c r="M161"/>
  <c r="M56"/>
  <c r="Y10" i="32"/>
  <c r="Z10"/>
  <c r="Y8"/>
  <c r="Z8"/>
  <c r="AA10"/>
  <c r="AA8"/>
  <c r="B69"/>
  <c r="H98" i="31"/>
  <c r="I98"/>
  <c r="AA37" i="32"/>
  <c r="AB37"/>
  <c r="AA35"/>
  <c r="AB35"/>
  <c r="AA33"/>
  <c r="Z33"/>
  <c r="AA31"/>
  <c r="Y31"/>
  <c r="AA29"/>
  <c r="Y29"/>
  <c r="AA27"/>
  <c r="Y27"/>
  <c r="H1" i="33"/>
  <c r="G6" i="35"/>
  <c r="Y1" i="33"/>
  <c r="V3"/>
  <c r="U3"/>
  <c r="X1"/>
  <c r="H3"/>
  <c r="H4"/>
  <c r="H5"/>
  <c r="H6"/>
  <c r="V1"/>
  <c r="W1"/>
  <c r="AA54" i="32"/>
  <c r="Y54"/>
  <c r="AB54"/>
  <c r="AA52"/>
  <c r="Y52"/>
  <c r="AA49"/>
  <c r="Y49"/>
  <c r="AA47"/>
  <c r="Y47"/>
  <c r="AA45"/>
  <c r="Y45"/>
  <c r="AA22"/>
  <c r="Y22"/>
  <c r="AA20"/>
  <c r="Y20"/>
  <c r="AA17"/>
  <c r="Y17"/>
  <c r="B12"/>
  <c r="H21" i="31"/>
  <c r="I21"/>
  <c r="H26"/>
  <c r="I26"/>
  <c r="U1" i="33"/>
  <c r="W4"/>
  <c r="X4"/>
  <c r="W5"/>
  <c r="X5"/>
  <c r="W6"/>
  <c r="X6"/>
  <c r="B76" i="32"/>
  <c r="H33" i="31"/>
  <c r="I33"/>
  <c r="B7" i="32"/>
  <c r="H18" i="31"/>
  <c r="I18"/>
  <c r="F3" i="33"/>
  <c r="F1"/>
  <c r="F4"/>
  <c r="F5"/>
  <c r="F6"/>
  <c r="H99" i="31"/>
  <c r="H100"/>
  <c r="H101"/>
  <c r="H102"/>
  <c r="I99"/>
  <c r="I100"/>
  <c r="I101"/>
  <c r="I102"/>
  <c r="B64" i="32"/>
  <c r="B66"/>
  <c r="H96" i="31"/>
  <c r="H97"/>
  <c r="I96"/>
  <c r="I97"/>
  <c r="B62" i="32"/>
  <c r="H95" i="31"/>
  <c r="I95"/>
  <c r="B47" i="32"/>
  <c r="H38" i="31"/>
  <c r="I38"/>
  <c r="D7" i="32"/>
  <c r="G7"/>
  <c r="J42"/>
  <c r="H9" i="31"/>
  <c r="H10"/>
  <c r="H11"/>
  <c r="I9"/>
  <c r="I10"/>
  <c r="I11"/>
  <c r="B27" i="32"/>
  <c r="H7" i="31"/>
  <c r="I7"/>
  <c r="H2"/>
  <c r="AA67" i="32"/>
  <c r="Y67"/>
  <c r="AB67"/>
  <c r="AA74"/>
  <c r="Y74"/>
  <c r="AA72"/>
  <c r="Y72"/>
  <c r="AB72"/>
  <c r="AA70"/>
  <c r="Y70"/>
  <c r="AB70"/>
  <c r="AA60"/>
  <c r="Y60"/>
  <c r="AB60"/>
  <c r="AA58"/>
  <c r="Y58"/>
  <c r="AB58"/>
  <c r="AA56"/>
  <c r="Y56"/>
  <c r="Y43"/>
  <c r="Z43"/>
  <c r="AA43"/>
  <c r="Y37"/>
  <c r="AA15"/>
  <c r="Y15"/>
  <c r="AA24"/>
  <c r="Y24"/>
  <c r="H94" i="31"/>
  <c r="I94"/>
  <c r="H93"/>
  <c r="I93"/>
  <c r="B14" i="32"/>
  <c r="B26"/>
  <c r="B52"/>
  <c r="B54"/>
  <c r="B56"/>
  <c r="B58"/>
  <c r="B60"/>
  <c r="B5"/>
  <c r="B8"/>
  <c r="B10"/>
  <c r="J3" i="33"/>
  <c r="J4"/>
  <c r="J5"/>
  <c r="J6"/>
  <c r="B119" i="32"/>
  <c r="B67"/>
  <c r="D5" i="10"/>
  <c r="B121" i="32"/>
  <c r="B124"/>
  <c r="B72"/>
  <c r="B126"/>
  <c r="B118"/>
  <c r="B49"/>
  <c r="C15" i="1"/>
  <c r="C15" i="2"/>
  <c r="C15" i="36"/>
  <c r="C15" i="8"/>
  <c r="C15" i="14"/>
  <c r="C18" i="36"/>
  <c r="D18"/>
  <c r="I18" i="2"/>
  <c r="K18" i="1"/>
  <c r="K19"/>
  <c r="L19"/>
  <c r="M19"/>
  <c r="N89"/>
  <c r="J18" i="14"/>
  <c r="J19"/>
  <c r="L19" i="36"/>
  <c r="K17" i="14"/>
  <c r="H17" i="10"/>
  <c r="D17"/>
  <c r="H18"/>
  <c r="I18"/>
  <c r="J18"/>
  <c r="K18"/>
  <c r="L18"/>
  <c r="M18"/>
  <c r="O18"/>
  <c r="E2" i="37"/>
  <c r="E3"/>
  <c r="E4"/>
  <c r="E5"/>
  <c r="E6"/>
  <c r="E7"/>
  <c r="E8"/>
  <c r="E9"/>
  <c r="E10"/>
  <c r="E11"/>
  <c r="E12"/>
  <c r="E13"/>
  <c r="E14"/>
  <c r="E15"/>
  <c r="E16"/>
  <c r="E17"/>
  <c r="E18"/>
  <c r="E19"/>
  <c r="E20"/>
  <c r="F2" i="35"/>
  <c r="F3"/>
  <c r="F4"/>
  <c r="F5"/>
  <c r="F6"/>
  <c r="F7"/>
  <c r="F8"/>
  <c r="F9"/>
  <c r="F10"/>
  <c r="F11"/>
  <c r="F12"/>
  <c r="F13"/>
  <c r="F14"/>
  <c r="F15"/>
  <c r="F16"/>
  <c r="F17"/>
  <c r="F35"/>
  <c r="F36"/>
  <c r="F37"/>
  <c r="F38"/>
  <c r="F39"/>
  <c r="F40"/>
  <c r="F41"/>
  <c r="F42"/>
  <c r="F43"/>
  <c r="F44"/>
  <c r="F45"/>
  <c r="F46"/>
  <c r="F47"/>
  <c r="F48"/>
  <c r="F49"/>
  <c r="F50"/>
  <c r="F51"/>
  <c r="F52"/>
  <c r="F53"/>
  <c r="F54"/>
  <c r="F55"/>
  <c r="F56"/>
  <c r="F57"/>
  <c r="F58"/>
  <c r="F59"/>
  <c r="F60"/>
  <c r="F61"/>
  <c r="F62"/>
  <c r="F63"/>
  <c r="F64"/>
  <c r="F65"/>
  <c r="F67"/>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30"/>
  <c r="F131"/>
  <c r="F132"/>
  <c r="F133"/>
  <c r="F134"/>
  <c r="F135"/>
  <c r="F136"/>
  <c r="F137"/>
  <c r="F138"/>
  <c r="F139"/>
  <c r="F140"/>
  <c r="F141"/>
  <c r="F142"/>
  <c r="F143"/>
  <c r="F144"/>
  <c r="F145"/>
  <c r="F146"/>
  <c r="F147"/>
  <c r="F148"/>
  <c r="F149"/>
  <c r="F150"/>
  <c r="F151"/>
  <c r="F152"/>
  <c r="F153"/>
  <c r="F154"/>
  <c r="F155"/>
  <c r="F156"/>
  <c r="F157"/>
  <c r="F159"/>
  <c r="F160"/>
  <c r="F161"/>
  <c r="F162"/>
  <c r="F163"/>
  <c r="F164"/>
  <c r="F165"/>
  <c r="F166"/>
  <c r="F167"/>
  <c r="F168"/>
  <c r="F169"/>
  <c r="F170"/>
  <c r="F171"/>
  <c r="F173"/>
  <c r="F174"/>
  <c r="F175"/>
  <c r="F176"/>
  <c r="F177"/>
  <c r="F178"/>
  <c r="F179"/>
  <c r="F180"/>
  <c r="F181"/>
  <c r="F182"/>
  <c r="F183"/>
  <c r="F184"/>
  <c r="F185"/>
  <c r="F186"/>
  <c r="F187"/>
  <c r="F188"/>
  <c r="F189"/>
  <c r="F190"/>
  <c r="F191"/>
  <c r="F192"/>
  <c r="F193"/>
  <c r="F194"/>
  <c r="F196"/>
  <c r="F197"/>
  <c r="F198"/>
  <c r="F199"/>
  <c r="F200"/>
  <c r="F201"/>
  <c r="F202"/>
  <c r="F203"/>
  <c r="F204"/>
  <c r="F205"/>
  <c r="F206"/>
  <c r="F207"/>
  <c r="F208"/>
  <c r="F209"/>
  <c r="F210"/>
  <c r="F211"/>
  <c r="F212"/>
  <c r="F213"/>
  <c r="F214"/>
  <c r="F215"/>
  <c r="F216"/>
  <c r="F218"/>
  <c r="F219"/>
  <c r="F221"/>
  <c r="F222"/>
  <c r="F224"/>
  <c r="F225"/>
  <c r="F226"/>
  <c r="F227"/>
  <c r="F228"/>
  <c r="F229"/>
  <c r="F230"/>
  <c r="F231"/>
  <c r="F232"/>
  <c r="F233"/>
  <c r="F234"/>
  <c r="F235"/>
  <c r="F236"/>
  <c r="F237"/>
  <c r="F238"/>
  <c r="F239"/>
  <c r="F240"/>
  <c r="F241"/>
  <c r="F242"/>
  <c r="F243"/>
  <c r="F244"/>
  <c r="F245"/>
  <c r="F246"/>
  <c r="F248"/>
  <c r="F249"/>
  <c r="F251"/>
  <c r="F252"/>
  <c r="F253"/>
  <c r="F254"/>
  <c r="F255"/>
  <c r="F256"/>
  <c r="F257"/>
  <c r="F258"/>
  <c r="F259"/>
  <c r="F260"/>
  <c r="F261"/>
  <c r="F262"/>
  <c r="F263"/>
  <c r="F264"/>
  <c r="F265"/>
  <c r="F266"/>
  <c r="F267"/>
  <c r="F268"/>
  <c r="F269"/>
  <c r="F270"/>
  <c r="F271"/>
  <c r="F272"/>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2"/>
  <c r="F343"/>
  <c r="F344"/>
  <c r="F345"/>
  <c r="F346"/>
  <c r="F347"/>
  <c r="F348"/>
  <c r="F349"/>
  <c r="F350"/>
  <c r="F351"/>
  <c r="F352"/>
  <c r="F353"/>
  <c r="F354"/>
  <c r="F355"/>
  <c r="H34" i="31"/>
  <c r="I34"/>
  <c r="O40" i="10"/>
  <c r="Q40"/>
  <c r="O39"/>
  <c r="Q39"/>
  <c r="O35"/>
  <c r="Q35"/>
  <c r="O33"/>
  <c r="O32"/>
  <c r="Q32"/>
  <c r="O28"/>
  <c r="O27"/>
  <c r="Q27"/>
  <c r="O24"/>
  <c r="Q24"/>
  <c r="O21"/>
  <c r="Q21"/>
  <c r="P37"/>
  <c r="P41"/>
  <c r="P53"/>
  <c r="H82" i="31"/>
  <c r="H83"/>
  <c r="H84"/>
  <c r="H85"/>
  <c r="H86"/>
  <c r="H87"/>
  <c r="H90"/>
  <c r="H91"/>
  <c r="H92"/>
  <c r="I82"/>
  <c r="I83"/>
  <c r="I84"/>
  <c r="I85"/>
  <c r="I86"/>
  <c r="I87"/>
  <c r="I90"/>
  <c r="I91"/>
  <c r="I92"/>
  <c r="H81"/>
  <c r="I81"/>
  <c r="H71"/>
  <c r="I71"/>
  <c r="H8"/>
  <c r="I8"/>
  <c r="H46"/>
  <c r="H47"/>
  <c r="I46"/>
  <c r="I47"/>
  <c r="H3"/>
  <c r="H4"/>
  <c r="H5"/>
  <c r="H12"/>
  <c r="H13"/>
  <c r="H14"/>
  <c r="H15"/>
  <c r="H16"/>
  <c r="H17"/>
  <c r="H19"/>
  <c r="H20"/>
  <c r="H22"/>
  <c r="H23"/>
  <c r="H24"/>
  <c r="H25"/>
  <c r="H27"/>
  <c r="H28"/>
  <c r="H29"/>
  <c r="H30"/>
  <c r="H31"/>
  <c r="H32"/>
  <c r="H35"/>
  <c r="H36"/>
  <c r="H37"/>
  <c r="H39"/>
  <c r="H40"/>
  <c r="H42"/>
  <c r="H43"/>
  <c r="H44"/>
  <c r="H45"/>
  <c r="H48"/>
  <c r="H49"/>
  <c r="H50"/>
  <c r="H51"/>
  <c r="H52"/>
  <c r="H53"/>
  <c r="H54"/>
  <c r="H55"/>
  <c r="H56"/>
  <c r="H57"/>
  <c r="H58"/>
  <c r="H59"/>
  <c r="H60"/>
  <c r="H61"/>
  <c r="H62"/>
  <c r="H63"/>
  <c r="H64"/>
  <c r="H65"/>
  <c r="H66"/>
  <c r="H67"/>
  <c r="H68"/>
  <c r="H70"/>
  <c r="H72"/>
  <c r="H73"/>
  <c r="H74"/>
  <c r="H75"/>
  <c r="H76"/>
  <c r="H77"/>
  <c r="H78"/>
  <c r="H79"/>
  <c r="H80"/>
  <c r="C21" i="14"/>
  <c r="C23"/>
  <c r="C29"/>
  <c r="C33"/>
  <c r="C35"/>
  <c r="C37"/>
  <c r="C41"/>
  <c r="C45"/>
  <c r="C78"/>
  <c r="D77"/>
  <c r="A2" i="34"/>
  <c r="P3" i="33" a="1"/>
  <c r="P3"/>
  <c r="I22" i="31"/>
  <c r="I23"/>
  <c r="I24"/>
  <c r="I25"/>
  <c r="I15"/>
  <c r="I16"/>
  <c r="I12"/>
  <c r="I14"/>
  <c r="I13"/>
  <c r="I2"/>
  <c r="I3"/>
  <c r="I4"/>
  <c r="I5"/>
  <c r="I17"/>
  <c r="I19"/>
  <c r="I20"/>
  <c r="I27"/>
  <c r="I28"/>
  <c r="I29"/>
  <c r="I30"/>
  <c r="I31"/>
  <c r="I32"/>
  <c r="I35"/>
  <c r="I36"/>
  <c r="I37"/>
  <c r="I39"/>
  <c r="I40"/>
  <c r="I42"/>
  <c r="I43"/>
  <c r="I44"/>
  <c r="I45"/>
  <c r="I48"/>
  <c r="I49"/>
  <c r="I50"/>
  <c r="I51"/>
  <c r="I52"/>
  <c r="I53"/>
  <c r="I54"/>
  <c r="I55"/>
  <c r="I56"/>
  <c r="I57"/>
  <c r="I58"/>
  <c r="I59"/>
  <c r="I60"/>
  <c r="I61"/>
  <c r="I62"/>
  <c r="I63"/>
  <c r="I64"/>
  <c r="I65"/>
  <c r="I66"/>
  <c r="I67"/>
  <c r="I68"/>
  <c r="I70"/>
  <c r="I72"/>
  <c r="I73"/>
  <c r="I74"/>
  <c r="I75"/>
  <c r="I76"/>
  <c r="I77"/>
  <c r="I78"/>
  <c r="I79"/>
  <c r="I80"/>
  <c r="C33" i="8"/>
  <c r="C21" i="36"/>
  <c r="C56" i="8"/>
  <c r="D48"/>
  <c r="C48"/>
  <c r="C44"/>
  <c r="D40"/>
  <c r="C40"/>
  <c r="C36"/>
  <c r="D32"/>
  <c r="D28"/>
  <c r="C28"/>
  <c r="D24"/>
  <c r="C24"/>
  <c r="D41" i="36"/>
  <c r="D36"/>
  <c r="C36"/>
  <c r="D32"/>
  <c r="D28"/>
  <c r="C28"/>
  <c r="D24"/>
  <c r="D144" i="2"/>
  <c r="D132"/>
  <c r="D128"/>
  <c r="C128"/>
  <c r="D124"/>
  <c r="D120"/>
  <c r="C120"/>
  <c r="D116"/>
  <c r="D112"/>
  <c r="C112"/>
  <c r="D108"/>
  <c r="D104"/>
  <c r="C104"/>
  <c r="D100"/>
  <c r="D96"/>
  <c r="C96"/>
  <c r="D92"/>
  <c r="D88"/>
  <c r="C88"/>
  <c r="D84"/>
  <c r="C84"/>
  <c r="D80"/>
  <c r="C80"/>
  <c r="C76"/>
  <c r="D72"/>
  <c r="C72"/>
  <c r="C68"/>
  <c r="D64"/>
  <c r="D60"/>
  <c r="C60"/>
  <c r="D56"/>
  <c r="D52"/>
  <c r="C52"/>
  <c r="C48"/>
  <c r="D44"/>
  <c r="C44"/>
  <c r="C40"/>
  <c r="D36"/>
  <c r="D32"/>
  <c r="C32"/>
  <c r="D28"/>
  <c r="D24"/>
  <c r="C24"/>
  <c r="C55" i="8"/>
  <c r="C47"/>
  <c r="C39"/>
  <c r="C31"/>
  <c r="C27"/>
  <c r="C35" i="36"/>
  <c r="C31"/>
  <c r="C27"/>
  <c r="C131" i="2"/>
  <c r="C127"/>
  <c r="C119"/>
  <c r="D23" i="14"/>
  <c r="C66" i="8"/>
  <c r="C62"/>
  <c r="D58"/>
  <c r="C58"/>
  <c r="D54"/>
  <c r="C54"/>
  <c r="D50"/>
  <c r="C50"/>
  <c r="D46"/>
  <c r="C46"/>
  <c r="D42"/>
  <c r="C42"/>
  <c r="D38"/>
  <c r="C38"/>
  <c r="D34"/>
  <c r="C34"/>
  <c r="D30"/>
  <c r="C30"/>
  <c r="D26"/>
  <c r="C26"/>
  <c r="D22"/>
  <c r="C22"/>
  <c r="D38" i="36"/>
  <c r="C38"/>
  <c r="D34"/>
  <c r="C34"/>
  <c r="D30"/>
  <c r="C30"/>
  <c r="D26"/>
  <c r="C26"/>
  <c r="D22"/>
  <c r="C22"/>
  <c r="D134" i="2"/>
  <c r="C134"/>
  <c r="D130"/>
  <c r="C130"/>
  <c r="D126"/>
  <c r="C126"/>
  <c r="D122"/>
  <c r="C122"/>
  <c r="D118"/>
  <c r="C118"/>
  <c r="D114"/>
  <c r="C114"/>
  <c r="D110"/>
  <c r="C110"/>
  <c r="D106"/>
  <c r="C106"/>
  <c r="D102"/>
  <c r="C102"/>
  <c r="D98"/>
  <c r="C98"/>
  <c r="D94"/>
  <c r="C94"/>
  <c r="D90"/>
  <c r="C90"/>
  <c r="D86"/>
  <c r="C86"/>
  <c r="D82"/>
  <c r="C82"/>
  <c r="D78"/>
  <c r="C78"/>
  <c r="D74"/>
  <c r="C74"/>
  <c r="D70"/>
  <c r="C70"/>
  <c r="D66"/>
  <c r="C66"/>
  <c r="D62"/>
  <c r="C62"/>
  <c r="D58"/>
  <c r="C58"/>
  <c r="D54"/>
  <c r="C54"/>
  <c r="D50"/>
  <c r="C50"/>
  <c r="D46"/>
  <c r="C46"/>
  <c r="D42"/>
  <c r="C42"/>
  <c r="D38"/>
  <c r="C38"/>
  <c r="D34"/>
  <c r="C34"/>
  <c r="D30"/>
  <c r="C30"/>
  <c r="D26"/>
  <c r="C26"/>
  <c r="D22"/>
  <c r="C22"/>
  <c r="D156" i="1"/>
  <c r="D152"/>
  <c r="D148"/>
  <c r="D144"/>
  <c r="D140"/>
  <c r="D136"/>
  <c r="D132"/>
  <c r="D128"/>
  <c r="D124"/>
  <c r="D120"/>
  <c r="D116"/>
  <c r="D112"/>
  <c r="D108"/>
  <c r="D104"/>
  <c r="D100"/>
  <c r="D96"/>
  <c r="D92"/>
  <c r="D84"/>
  <c r="D80"/>
  <c r="D76"/>
  <c r="D72"/>
  <c r="D68"/>
  <c r="D64"/>
  <c r="D60"/>
  <c r="D56"/>
  <c r="D52"/>
  <c r="D48"/>
  <c r="D44"/>
  <c r="D40"/>
  <c r="D36"/>
  <c r="D32"/>
  <c r="D28"/>
  <c r="D24"/>
  <c r="D26" i="14"/>
  <c r="D61" i="8"/>
  <c r="D57"/>
  <c r="D53"/>
  <c r="D49"/>
  <c r="D45"/>
  <c r="D41"/>
  <c r="D37"/>
  <c r="D33"/>
  <c r="D29"/>
  <c r="D25"/>
  <c r="D21"/>
  <c r="D37" i="36"/>
  <c r="D33"/>
  <c r="D29"/>
  <c r="D25"/>
  <c r="D21"/>
  <c r="D133" i="2"/>
  <c r="D129"/>
  <c r="D125"/>
  <c r="D121"/>
  <c r="D117"/>
  <c r="D113"/>
  <c r="D109"/>
  <c r="D105"/>
  <c r="D101"/>
  <c r="C101"/>
  <c r="D97"/>
  <c r="C97"/>
  <c r="D93"/>
  <c r="C93"/>
  <c r="D89"/>
  <c r="C89"/>
  <c r="D85"/>
  <c r="C85"/>
  <c r="D81"/>
  <c r="C81"/>
  <c r="D77"/>
  <c r="C77"/>
  <c r="D73"/>
  <c r="C73"/>
  <c r="D69"/>
  <c r="C69"/>
  <c r="D65"/>
  <c r="C65"/>
  <c r="D61"/>
  <c r="C61"/>
  <c r="D57"/>
  <c r="C57"/>
  <c r="D53"/>
  <c r="C53"/>
  <c r="D49"/>
  <c r="C49"/>
  <c r="D45"/>
  <c r="C45"/>
  <c r="D41"/>
  <c r="C41"/>
  <c r="D37"/>
  <c r="C37"/>
  <c r="D33"/>
  <c r="C33"/>
  <c r="D29"/>
  <c r="C29"/>
  <c r="D25"/>
  <c r="C25"/>
  <c r="D21"/>
  <c r="C21"/>
  <c r="D155" i="1"/>
  <c r="D151"/>
  <c r="D147"/>
  <c r="D143"/>
  <c r="D139"/>
  <c r="D135"/>
  <c r="D131"/>
  <c r="D127"/>
  <c r="D123"/>
  <c r="D119"/>
  <c r="D115"/>
  <c r="D111"/>
  <c r="D107"/>
  <c r="D103"/>
  <c r="D99"/>
  <c r="D95"/>
  <c r="D87"/>
  <c r="D83"/>
  <c r="D79"/>
  <c r="D75"/>
  <c r="D71"/>
  <c r="D67"/>
  <c r="D63"/>
  <c r="D59"/>
  <c r="D55"/>
  <c r="D51"/>
  <c r="D47"/>
  <c r="D43"/>
  <c r="D39"/>
  <c r="D35"/>
  <c r="C53" i="8"/>
  <c r="C37"/>
  <c r="C21"/>
  <c r="C25" i="36"/>
  <c r="C125" i="2"/>
  <c r="C113"/>
  <c r="C105"/>
  <c r="D154" i="1"/>
  <c r="D150"/>
  <c r="D146"/>
  <c r="D142"/>
  <c r="D138"/>
  <c r="D134"/>
  <c r="D130"/>
  <c r="D126"/>
  <c r="D122"/>
  <c r="D118"/>
  <c r="D106"/>
  <c r="D94"/>
  <c r="D70"/>
  <c r="D66"/>
  <c r="D62"/>
  <c r="D58"/>
  <c r="D54"/>
  <c r="D50"/>
  <c r="D46"/>
  <c r="D42"/>
  <c r="D38"/>
  <c r="D34"/>
  <c r="D30"/>
  <c r="D26"/>
  <c r="C57" i="8"/>
  <c r="C41"/>
  <c r="C25"/>
  <c r="C29" i="36"/>
  <c r="C129" i="2"/>
  <c r="D44" i="14"/>
  <c r="D40"/>
  <c r="D36"/>
  <c r="D32"/>
  <c r="D28"/>
  <c r="D24"/>
  <c r="D88" i="8"/>
  <c r="D67"/>
  <c r="D63"/>
  <c r="D59"/>
  <c r="D55"/>
  <c r="D51"/>
  <c r="D47"/>
  <c r="D43"/>
  <c r="D39"/>
  <c r="D35"/>
  <c r="D31"/>
  <c r="D27"/>
  <c r="D23"/>
  <c r="D39" i="36"/>
  <c r="D35"/>
  <c r="D31"/>
  <c r="D27"/>
  <c r="D23"/>
  <c r="D135" i="2"/>
  <c r="D131"/>
  <c r="D127"/>
  <c r="D123"/>
  <c r="D119"/>
  <c r="D115"/>
  <c r="C115"/>
  <c r="D111"/>
  <c r="C111"/>
  <c r="D107"/>
  <c r="C107"/>
  <c r="D103"/>
  <c r="C103"/>
  <c r="D99"/>
  <c r="C99"/>
  <c r="D95"/>
  <c r="C95"/>
  <c r="D91"/>
  <c r="C91"/>
  <c r="D87"/>
  <c r="C87"/>
  <c r="D83"/>
  <c r="C83"/>
  <c r="D79"/>
  <c r="C79"/>
  <c r="D75"/>
  <c r="C75"/>
  <c r="D71"/>
  <c r="C71"/>
  <c r="D67"/>
  <c r="C67"/>
  <c r="D63"/>
  <c r="C63"/>
  <c r="D59"/>
  <c r="C59"/>
  <c r="D55"/>
  <c r="C55"/>
  <c r="D51"/>
  <c r="C51"/>
  <c r="D47"/>
  <c r="C47"/>
  <c r="D43"/>
  <c r="C43"/>
  <c r="D39"/>
  <c r="C39"/>
  <c r="D35"/>
  <c r="C35"/>
  <c r="D31"/>
  <c r="C31"/>
  <c r="D27"/>
  <c r="C27"/>
  <c r="D23"/>
  <c r="C23"/>
  <c r="D157" i="1"/>
  <c r="D153"/>
  <c r="D149"/>
  <c r="D145"/>
  <c r="D141"/>
  <c r="D137"/>
  <c r="D133"/>
  <c r="D129"/>
  <c r="D125"/>
  <c r="D121"/>
  <c r="D117"/>
  <c r="D113"/>
  <c r="D109"/>
  <c r="D105"/>
  <c r="D101"/>
  <c r="D97"/>
  <c r="D93"/>
  <c r="D85"/>
  <c r="D81"/>
  <c r="D77"/>
  <c r="D73"/>
  <c r="D69"/>
  <c r="D65"/>
  <c r="D61"/>
  <c r="D57"/>
  <c r="D53"/>
  <c r="D49"/>
  <c r="D45"/>
  <c r="D41"/>
  <c r="D37"/>
  <c r="D33"/>
  <c r="D29"/>
  <c r="D25"/>
  <c r="C67" i="8"/>
  <c r="C61"/>
  <c r="C51"/>
  <c r="C45"/>
  <c r="C35"/>
  <c r="C29"/>
  <c r="C39" i="36"/>
  <c r="C33"/>
  <c r="C23"/>
  <c r="C133" i="2"/>
  <c r="C123"/>
  <c r="C117"/>
  <c r="C109"/>
  <c r="D31" i="1"/>
  <c r="D27"/>
  <c r="D23"/>
  <c r="D114"/>
  <c r="D102"/>
  <c r="D86"/>
  <c r="D78"/>
  <c r="D74"/>
  <c r="D98"/>
  <c r="D82"/>
  <c r="G20" i="10"/>
  <c r="G39"/>
  <c r="G35"/>
  <c r="G31"/>
  <c r="G27"/>
  <c r="G23"/>
  <c r="G53"/>
  <c r="G38"/>
  <c r="G34"/>
  <c r="G30"/>
  <c r="G26"/>
  <c r="G22"/>
  <c r="G41"/>
  <c r="G37"/>
  <c r="G33"/>
  <c r="G29"/>
  <c r="G25"/>
  <c r="G21"/>
  <c r="G40"/>
  <c r="G36"/>
  <c r="G32"/>
  <c r="G28"/>
  <c r="G24"/>
  <c r="I5" i="35"/>
  <c r="I9"/>
  <c r="I13"/>
  <c r="I17"/>
  <c r="I21"/>
  <c r="I25"/>
  <c r="I29"/>
  <c r="I33"/>
  <c r="I37"/>
  <c r="I41"/>
  <c r="I45"/>
  <c r="I49"/>
  <c r="I53"/>
  <c r="I57"/>
  <c r="I61"/>
  <c r="I65"/>
  <c r="I69"/>
  <c r="I2"/>
  <c r="I7"/>
  <c r="I12"/>
  <c r="I18"/>
  <c r="I23"/>
  <c r="I28"/>
  <c r="I34"/>
  <c r="I39"/>
  <c r="I44"/>
  <c r="I50"/>
  <c r="I55"/>
  <c r="I60"/>
  <c r="I67"/>
  <c r="I71"/>
  <c r="I75"/>
  <c r="I79"/>
  <c r="I83"/>
  <c r="I87"/>
  <c r="I91"/>
  <c r="I95"/>
  <c r="I99"/>
  <c r="I103"/>
  <c r="I107"/>
  <c r="I111"/>
  <c r="I115"/>
  <c r="I119"/>
  <c r="I123"/>
  <c r="I127"/>
  <c r="I3"/>
  <c r="I8"/>
  <c r="I14"/>
  <c r="I19"/>
  <c r="I24"/>
  <c r="I30"/>
  <c r="I35"/>
  <c r="I40"/>
  <c r="I46"/>
  <c r="I51"/>
  <c r="I56"/>
  <c r="I62"/>
  <c r="I72"/>
  <c r="I76"/>
  <c r="I80"/>
  <c r="I84"/>
  <c r="I88"/>
  <c r="I92"/>
  <c r="I96"/>
  <c r="I100"/>
  <c r="I104"/>
  <c r="I108"/>
  <c r="I112"/>
  <c r="I116"/>
  <c r="I120"/>
  <c r="I124"/>
  <c r="I128"/>
  <c r="I4"/>
  <c r="I10"/>
  <c r="I15"/>
  <c r="I20"/>
  <c r="I26"/>
  <c r="I31"/>
  <c r="I36"/>
  <c r="I42"/>
  <c r="I47"/>
  <c r="I52"/>
  <c r="I58"/>
  <c r="I63"/>
  <c r="I73"/>
  <c r="I77"/>
  <c r="I81"/>
  <c r="I85"/>
  <c r="I89"/>
  <c r="I93"/>
  <c r="I97"/>
  <c r="I101"/>
  <c r="I105"/>
  <c r="I109"/>
  <c r="I113"/>
  <c r="I117"/>
  <c r="I121"/>
  <c r="I125"/>
  <c r="I6"/>
  <c r="I11"/>
  <c r="I16"/>
  <c r="I22"/>
  <c r="I27"/>
  <c r="I32"/>
  <c r="I38"/>
  <c r="I43"/>
  <c r="I48"/>
  <c r="I54"/>
  <c r="I59"/>
  <c r="I64"/>
  <c r="I70"/>
  <c r="I74"/>
  <c r="I78"/>
  <c r="I82"/>
  <c r="I86"/>
  <c r="I90"/>
  <c r="I94"/>
  <c r="I98"/>
  <c r="I102"/>
  <c r="I106"/>
  <c r="I110"/>
  <c r="I114"/>
  <c r="I118"/>
  <c r="I122"/>
  <c r="I126"/>
  <c r="K18" i="8"/>
  <c r="P5" i="33" a="1"/>
  <c r="P5"/>
  <c r="D78" i="14"/>
  <c r="D38"/>
  <c r="C37" i="36"/>
  <c r="C68" i="8"/>
  <c r="C60"/>
  <c r="C52"/>
  <c r="D42" i="14"/>
  <c r="D34"/>
  <c r="C49" i="8"/>
  <c r="C121" i="2"/>
  <c r="I322" i="35"/>
  <c r="I318"/>
  <c r="I314"/>
  <c r="I310"/>
  <c r="I306"/>
  <c r="I302"/>
  <c r="I298"/>
  <c r="I294"/>
  <c r="I290"/>
  <c r="I287"/>
  <c r="I283"/>
  <c r="I279"/>
  <c r="I276"/>
  <c r="I272"/>
  <c r="I268"/>
  <c r="I262"/>
  <c r="I258"/>
  <c r="I252"/>
  <c r="I246"/>
  <c r="I242"/>
  <c r="I238"/>
  <c r="I234"/>
  <c r="I231"/>
  <c r="I228"/>
  <c r="I226"/>
  <c r="I218"/>
  <c r="I213"/>
  <c r="I209"/>
  <c r="I205"/>
  <c r="I202"/>
  <c r="I199"/>
  <c r="I194"/>
  <c r="I190"/>
  <c r="I186"/>
  <c r="I182"/>
  <c r="I179"/>
  <c r="I176"/>
  <c r="I171"/>
  <c r="I167"/>
  <c r="I164"/>
  <c r="I161"/>
  <c r="I156"/>
  <c r="I152"/>
  <c r="I148"/>
  <c r="I144"/>
  <c r="I140"/>
  <c r="I136"/>
  <c r="I130"/>
  <c r="I355"/>
  <c r="I321"/>
  <c r="I317"/>
  <c r="I313"/>
  <c r="I309"/>
  <c r="I305"/>
  <c r="I301"/>
  <c r="I297"/>
  <c r="I293"/>
  <c r="I289"/>
  <c r="I286"/>
  <c r="I282"/>
  <c r="I278"/>
  <c r="I275"/>
  <c r="I271"/>
  <c r="I267"/>
  <c r="I264"/>
  <c r="I261"/>
  <c r="I257"/>
  <c r="I254"/>
  <c r="I251"/>
  <c r="I245"/>
  <c r="I241"/>
  <c r="I237"/>
  <c r="I233"/>
  <c r="I230"/>
  <c r="I225"/>
  <c r="I222"/>
  <c r="I216"/>
  <c r="I212"/>
  <c r="I208"/>
  <c r="I204"/>
  <c r="I201"/>
  <c r="I198"/>
  <c r="I193"/>
  <c r="I189"/>
  <c r="I185"/>
  <c r="I181"/>
  <c r="I178"/>
  <c r="I175"/>
  <c r="I170"/>
  <c r="I166"/>
  <c r="I163"/>
  <c r="I160"/>
  <c r="I155"/>
  <c r="I151"/>
  <c r="I147"/>
  <c r="I143"/>
  <c r="I139"/>
  <c r="I135"/>
  <c r="I133"/>
  <c r="I324"/>
  <c r="I320"/>
  <c r="I316"/>
  <c r="I312"/>
  <c r="I308"/>
  <c r="I304"/>
  <c r="I300"/>
  <c r="I296"/>
  <c r="I292"/>
  <c r="I285"/>
  <c r="I281"/>
  <c r="I270"/>
  <c r="I266"/>
  <c r="I263"/>
  <c r="I260"/>
  <c r="I256"/>
  <c r="I253"/>
  <c r="I249"/>
  <c r="I244"/>
  <c r="I240"/>
  <c r="I236"/>
  <c r="I221"/>
  <c r="I215"/>
  <c r="I211"/>
  <c r="I207"/>
  <c r="I200"/>
  <c r="I197"/>
  <c r="I192"/>
  <c r="I188"/>
  <c r="I184"/>
  <c r="I180"/>
  <c r="I177"/>
  <c r="I174"/>
  <c r="I169"/>
  <c r="I165"/>
  <c r="I159"/>
  <c r="I154"/>
  <c r="I150"/>
  <c r="I146"/>
  <c r="I142"/>
  <c r="I138"/>
  <c r="I132"/>
  <c r="I323"/>
  <c r="I319"/>
  <c r="I315"/>
  <c r="I311"/>
  <c r="I307"/>
  <c r="I303"/>
  <c r="I299"/>
  <c r="I295"/>
  <c r="I291"/>
  <c r="I288"/>
  <c r="I284"/>
  <c r="I280"/>
  <c r="I277"/>
  <c r="I274"/>
  <c r="I269"/>
  <c r="I265"/>
  <c r="I259"/>
  <c r="I255"/>
  <c r="I248"/>
  <c r="I243"/>
  <c r="I239"/>
  <c r="I235"/>
  <c r="I232"/>
  <c r="I229"/>
  <c r="I227"/>
  <c r="I224"/>
  <c r="I219"/>
  <c r="I214"/>
  <c r="I210"/>
  <c r="I206"/>
  <c r="I203"/>
  <c r="I196"/>
  <c r="I191"/>
  <c r="I187"/>
  <c r="I183"/>
  <c r="I173"/>
  <c r="I168"/>
  <c r="I162"/>
  <c r="I157"/>
  <c r="I153"/>
  <c r="I149"/>
  <c r="I145"/>
  <c r="I141"/>
  <c r="I137"/>
  <c r="I134"/>
  <c r="I131"/>
  <c r="G2" i="37"/>
  <c r="G3"/>
  <c r="G4"/>
  <c r="G5"/>
  <c r="G6"/>
  <c r="G7"/>
  <c r="G8"/>
  <c r="G9"/>
  <c r="G10"/>
  <c r="G11"/>
  <c r="G12"/>
  <c r="G13"/>
  <c r="G14"/>
  <c r="G15"/>
  <c r="G16"/>
  <c r="G17"/>
  <c r="G18"/>
  <c r="G19"/>
  <c r="D56" i="8"/>
  <c r="D46" i="14"/>
  <c r="D49"/>
  <c r="D48"/>
  <c r="C63" i="8"/>
  <c r="C23"/>
  <c r="C135" i="2"/>
  <c r="C43" i="8"/>
  <c r="D110" i="1"/>
  <c r="D37" i="14"/>
  <c r="C64" i="8"/>
  <c r="D52"/>
  <c r="D44"/>
  <c r="D36"/>
  <c r="C32"/>
  <c r="C41" i="36"/>
  <c r="C32"/>
  <c r="C24"/>
  <c r="C132" i="2"/>
  <c r="C124"/>
  <c r="C116"/>
  <c r="C108"/>
  <c r="C100"/>
  <c r="C92"/>
  <c r="D76"/>
  <c r="D68"/>
  <c r="C64"/>
  <c r="C56"/>
  <c r="D48"/>
  <c r="D40"/>
  <c r="C36"/>
  <c r="C28"/>
  <c r="D158" i="1"/>
  <c r="K19" i="8"/>
  <c r="D68"/>
  <c r="D76" i="14"/>
  <c r="D72"/>
  <c r="D64"/>
  <c r="D51"/>
  <c r="D21"/>
  <c r="D63"/>
  <c r="D29"/>
  <c r="D45"/>
  <c r="C65" i="8"/>
  <c r="D41" i="14"/>
  <c r="D75"/>
  <c r="D67"/>
  <c r="D58"/>
  <c r="D50"/>
  <c r="I354" i="35"/>
  <c r="I353"/>
  <c r="I352"/>
  <c r="I351"/>
  <c r="I350"/>
  <c r="I349"/>
  <c r="I348"/>
  <c r="I347"/>
  <c r="I346"/>
  <c r="I345"/>
  <c r="I344"/>
  <c r="I343"/>
  <c r="I342"/>
  <c r="I340"/>
  <c r="I339"/>
  <c r="I338"/>
  <c r="I337"/>
  <c r="I336"/>
  <c r="I335"/>
  <c r="I334"/>
  <c r="I333"/>
  <c r="I332"/>
  <c r="I331"/>
  <c r="I330"/>
  <c r="I329"/>
  <c r="I328"/>
  <c r="I327"/>
  <c r="I326"/>
  <c r="I325"/>
  <c r="G20" i="37"/>
  <c r="B17" i="32"/>
  <c r="Z37"/>
  <c r="Z31"/>
  <c r="B106"/>
  <c r="B96"/>
  <c r="B86"/>
  <c r="B116"/>
  <c r="B79"/>
  <c r="B109"/>
  <c r="B99"/>
  <c r="B89"/>
  <c r="B114"/>
  <c r="B104"/>
  <c r="B94"/>
  <c r="B84"/>
  <c r="B78"/>
  <c r="B98"/>
  <c r="B88"/>
  <c r="B81"/>
  <c r="B111"/>
  <c r="B101"/>
  <c r="B91"/>
  <c r="Z29"/>
  <c r="AB29"/>
  <c r="D11" i="10"/>
  <c r="J7" i="32"/>
  <c r="H5" i="37"/>
  <c r="H9"/>
  <c r="G18" i="35"/>
  <c r="G22"/>
  <c r="G50"/>
  <c r="G54"/>
  <c r="G82"/>
  <c r="G86"/>
  <c r="G114"/>
  <c r="G118"/>
  <c r="G145"/>
  <c r="G149"/>
  <c r="G187"/>
  <c r="G191"/>
  <c r="G224"/>
  <c r="G227"/>
  <c r="G255"/>
  <c r="G259"/>
  <c r="G288"/>
  <c r="G291"/>
  <c r="H10" i="37"/>
  <c r="H14"/>
  <c r="G23" i="35"/>
  <c r="G27"/>
  <c r="G55"/>
  <c r="G59"/>
  <c r="G91"/>
  <c r="G95"/>
  <c r="G123"/>
  <c r="G127"/>
  <c r="G159"/>
  <c r="G165"/>
  <c r="G192"/>
  <c r="G197"/>
  <c r="G240"/>
  <c r="G244"/>
  <c r="G270"/>
  <c r="G281"/>
  <c r="H7" i="37"/>
  <c r="H11"/>
  <c r="G20" i="35"/>
  <c r="G24"/>
  <c r="G52"/>
  <c r="G56"/>
  <c r="G88"/>
  <c r="G92"/>
  <c r="G120"/>
  <c r="G124"/>
  <c r="G151"/>
  <c r="G155"/>
  <c r="G181"/>
  <c r="G185"/>
  <c r="G212"/>
  <c r="G216"/>
  <c r="G245"/>
  <c r="G251"/>
  <c r="G275"/>
  <c r="G278"/>
  <c r="G305"/>
  <c r="H4" i="37"/>
  <c r="G13" i="35"/>
  <c r="G17"/>
  <c r="G45"/>
  <c r="G49"/>
  <c r="G77"/>
  <c r="G81"/>
  <c r="G109"/>
  <c r="G113"/>
  <c r="G144"/>
  <c r="G148"/>
  <c r="G176"/>
  <c r="G179"/>
  <c r="G205"/>
  <c r="G209"/>
  <c r="G238"/>
  <c r="G242"/>
  <c r="G276"/>
  <c r="G279"/>
  <c r="G306"/>
  <c r="G308"/>
  <c r="G336"/>
  <c r="G340"/>
  <c r="G348"/>
  <c r="G309"/>
  <c r="G337"/>
  <c r="G342"/>
  <c r="G339"/>
  <c r="G352"/>
  <c r="G318"/>
  <c r="G322"/>
  <c r="G334"/>
  <c r="G338"/>
  <c r="G351"/>
  <c r="G354"/>
  <c r="G344"/>
  <c r="G355"/>
  <c r="B74" i="32"/>
  <c r="Y6" i="33"/>
  <c r="Y5"/>
  <c r="B108" i="32"/>
  <c r="E55" i="31"/>
  <c r="C54"/>
  <c r="E53"/>
  <c r="D58"/>
  <c r="C56"/>
  <c r="C57"/>
  <c r="D56"/>
  <c r="D55"/>
  <c r="C58"/>
  <c r="D66" i="8"/>
  <c r="D27" i="14"/>
  <c r="D33"/>
  <c r="D56"/>
  <c r="D52"/>
  <c r="D64" i="8"/>
  <c r="D57" i="14"/>
  <c r="C59" i="8"/>
  <c r="D25" i="14"/>
  <c r="D53"/>
  <c r="D65" i="8"/>
  <c r="D22" i="14"/>
  <c r="D62" i="8"/>
  <c r="D31" i="14"/>
  <c r="D43"/>
  <c r="D54"/>
  <c r="D47"/>
  <c r="D62"/>
  <c r="D85"/>
  <c r="D86"/>
  <c r="B14" i="37"/>
  <c r="H14" i="35"/>
  <c r="H110"/>
  <c r="H64"/>
  <c r="H194"/>
  <c r="H33"/>
  <c r="H139"/>
  <c r="H284"/>
  <c r="H348"/>
  <c r="H156"/>
  <c r="H253"/>
  <c r="H25"/>
  <c r="H127"/>
  <c r="H237"/>
  <c r="H289"/>
  <c r="D35" i="14"/>
  <c r="D70"/>
  <c r="D61"/>
  <c r="D65"/>
  <c r="D83"/>
  <c r="D30"/>
  <c r="D68"/>
  <c r="F146" i="2"/>
  <c r="B43" i="32"/>
  <c r="D79" i="14"/>
  <c r="D71"/>
  <c r="D66"/>
  <c r="D60"/>
  <c r="D81"/>
  <c r="D69"/>
  <c r="D82"/>
  <c r="D80"/>
  <c r="D74"/>
  <c r="D73"/>
  <c r="D59"/>
  <c r="D84"/>
  <c r="G357" i="35"/>
  <c r="G360"/>
  <c r="G359"/>
  <c r="G362"/>
  <c r="AB15" i="32"/>
  <c r="AB45"/>
  <c r="C14" i="14"/>
  <c r="F387" i="38"/>
  <c r="F403"/>
  <c r="F388"/>
  <c r="F404"/>
  <c r="F385"/>
  <c r="F401"/>
  <c r="F382"/>
  <c r="F398"/>
  <c r="G379"/>
  <c r="G395"/>
  <c r="G380"/>
  <c r="G396"/>
  <c r="G377"/>
  <c r="G393"/>
  <c r="G409"/>
  <c r="G390"/>
  <c r="G406"/>
  <c r="H387"/>
  <c r="H403"/>
  <c r="H388"/>
  <c r="H404"/>
  <c r="H385"/>
  <c r="H401"/>
  <c r="H382"/>
  <c r="H398"/>
  <c r="H389"/>
  <c r="H386"/>
  <c r="H399"/>
  <c r="H381"/>
  <c r="H394"/>
  <c r="F391"/>
  <c r="F407"/>
  <c r="F392"/>
  <c r="F408"/>
  <c r="F389"/>
  <c r="F405"/>
  <c r="F386"/>
  <c r="F402"/>
  <c r="G383"/>
  <c r="G399"/>
  <c r="G384"/>
  <c r="G400"/>
  <c r="G381"/>
  <c r="G397"/>
  <c r="G378"/>
  <c r="G394"/>
  <c r="G410"/>
  <c r="H391"/>
  <c r="H407"/>
  <c r="H392"/>
  <c r="H408"/>
  <c r="H405"/>
  <c r="H402"/>
  <c r="H400"/>
  <c r="H378"/>
  <c r="F379"/>
  <c r="F395"/>
  <c r="F380"/>
  <c r="F396"/>
  <c r="F377"/>
  <c r="F393"/>
  <c r="F409"/>
  <c r="F390"/>
  <c r="F406"/>
  <c r="G387"/>
  <c r="G403"/>
  <c r="G388"/>
  <c r="G404"/>
  <c r="G385"/>
  <c r="G401"/>
  <c r="G382"/>
  <c r="G398"/>
  <c r="H379"/>
  <c r="H395"/>
  <c r="H380"/>
  <c r="H396"/>
  <c r="H377"/>
  <c r="H393"/>
  <c r="H409"/>
  <c r="H390"/>
  <c r="H406"/>
  <c r="G402"/>
  <c r="H383"/>
  <c r="H384"/>
  <c r="H397"/>
  <c r="H410"/>
  <c r="F383"/>
  <c r="F399"/>
  <c r="F384"/>
  <c r="F400"/>
  <c r="F381"/>
  <c r="F397"/>
  <c r="F378"/>
  <c r="F394"/>
  <c r="F410"/>
  <c r="G391"/>
  <c r="G407"/>
  <c r="G392"/>
  <c r="G408"/>
  <c r="G389"/>
  <c r="G405"/>
  <c r="G386"/>
  <c r="J440" i="34"/>
  <c r="D14" i="10"/>
  <c r="I424" i="34"/>
  <c r="J424"/>
  <c r="G456"/>
  <c r="J456"/>
  <c r="P5" i="10"/>
  <c r="J5" i="14"/>
  <c r="AB33" i="32"/>
  <c r="C14" i="36"/>
  <c r="C14" i="8"/>
  <c r="C11" i="36"/>
  <c r="C11" i="8"/>
  <c r="C11" i="14"/>
  <c r="I428" i="34"/>
  <c r="G363" i="35"/>
  <c r="G361"/>
  <c r="C53" i="31"/>
  <c r="E57"/>
  <c r="E54"/>
  <c r="D57"/>
  <c r="G323" i="35"/>
  <c r="G347"/>
  <c r="G330"/>
  <c r="G314"/>
  <c r="G331"/>
  <c r="G325"/>
  <c r="G311"/>
  <c r="G324"/>
  <c r="G294"/>
  <c r="G262"/>
  <c r="G228"/>
  <c r="G194"/>
  <c r="G164"/>
  <c r="G130"/>
  <c r="G97"/>
  <c r="G65"/>
  <c r="G33"/>
  <c r="H20" i="37"/>
  <c r="G293" i="35"/>
  <c r="G264"/>
  <c r="G233"/>
  <c r="G201"/>
  <c r="G170"/>
  <c r="G139"/>
  <c r="G108"/>
  <c r="G76"/>
  <c r="G40"/>
  <c r="G8"/>
  <c r="G300"/>
  <c r="G260"/>
  <c r="G215"/>
  <c r="G180"/>
  <c r="G146"/>
  <c r="G111"/>
  <c r="G79"/>
  <c r="G43"/>
  <c r="G11"/>
  <c r="G307"/>
  <c r="G277"/>
  <c r="G239"/>
  <c r="G210"/>
  <c r="G168"/>
  <c r="G134"/>
  <c r="G102"/>
  <c r="G70"/>
  <c r="G38"/>
  <c r="I432" i="34"/>
  <c r="G428"/>
  <c r="J428"/>
  <c r="H424"/>
  <c r="G424"/>
  <c r="H428"/>
  <c r="J432"/>
  <c r="H432"/>
  <c r="G432"/>
  <c r="H13" i="37"/>
  <c r="G10" i="35"/>
  <c r="G26"/>
  <c r="G42"/>
  <c r="G58"/>
  <c r="G74"/>
  <c r="G90"/>
  <c r="G106"/>
  <c r="G122"/>
  <c r="G137"/>
  <c r="G153"/>
  <c r="G173"/>
  <c r="G196"/>
  <c r="G214"/>
  <c r="G229"/>
  <c r="G243"/>
  <c r="G265"/>
  <c r="G280"/>
  <c r="G295"/>
  <c r="H2" i="37"/>
  <c r="H18"/>
  <c r="G15" i="35"/>
  <c r="G31"/>
  <c r="G47"/>
  <c r="G63"/>
  <c r="G83"/>
  <c r="G99"/>
  <c r="G115"/>
  <c r="G132"/>
  <c r="G150"/>
  <c r="G169"/>
  <c r="G184"/>
  <c r="G200"/>
  <c r="G221"/>
  <c r="G249"/>
  <c r="G263"/>
  <c r="G285"/>
  <c r="G304"/>
  <c r="H15" i="37"/>
  <c r="G12" i="35"/>
  <c r="G28"/>
  <c r="G44"/>
  <c r="G60"/>
  <c r="G80"/>
  <c r="G96"/>
  <c r="G112"/>
  <c r="G128"/>
  <c r="G143"/>
  <c r="G160"/>
  <c r="G175"/>
  <c r="G189"/>
  <c r="G204"/>
  <c r="G222"/>
  <c r="G237"/>
  <c r="G254"/>
  <c r="G267"/>
  <c r="G282"/>
  <c r="G297"/>
  <c r="H8" i="37"/>
  <c r="G5" i="35"/>
  <c r="G21"/>
  <c r="G37"/>
  <c r="G53"/>
  <c r="G69"/>
  <c r="G85"/>
  <c r="G101"/>
  <c r="G117"/>
  <c r="G136"/>
  <c r="G152"/>
  <c r="G167"/>
  <c r="G182"/>
  <c r="G199"/>
  <c r="G213"/>
  <c r="G231"/>
  <c r="G246"/>
  <c r="G268"/>
  <c r="G283"/>
  <c r="G298"/>
  <c r="G312"/>
  <c r="G328"/>
  <c r="G345"/>
  <c r="G327"/>
  <c r="G313"/>
  <c r="G329"/>
  <c r="G346"/>
  <c r="H17" i="37"/>
  <c r="G14" i="35"/>
  <c r="G30"/>
  <c r="G46"/>
  <c r="G62"/>
  <c r="G78"/>
  <c r="G94"/>
  <c r="G110"/>
  <c r="G126"/>
  <c r="G141"/>
  <c r="G157"/>
  <c r="G183"/>
  <c r="G203"/>
  <c r="G219"/>
  <c r="G232"/>
  <c r="G248"/>
  <c r="G269"/>
  <c r="G284"/>
  <c r="G299"/>
  <c r="H6" i="37"/>
  <c r="G3" i="35"/>
  <c r="G19"/>
  <c r="G35"/>
  <c r="G51"/>
  <c r="G71"/>
  <c r="G87"/>
  <c r="G103"/>
  <c r="G119"/>
  <c r="G138"/>
  <c r="G154"/>
  <c r="G174"/>
  <c r="G188"/>
  <c r="G207"/>
  <c r="G236"/>
  <c r="G253"/>
  <c r="G266"/>
  <c r="G292"/>
  <c r="H3" i="37"/>
  <c r="H19"/>
  <c r="G16" i="35"/>
  <c r="G32"/>
  <c r="G48"/>
  <c r="G64"/>
  <c r="G84"/>
  <c r="G100"/>
  <c r="G116"/>
  <c r="G133"/>
  <c r="G147"/>
  <c r="G163"/>
  <c r="G178"/>
  <c r="G193"/>
  <c r="G208"/>
  <c r="G225"/>
  <c r="G241"/>
  <c r="G257"/>
  <c r="G271"/>
  <c r="G286"/>
  <c r="G301"/>
  <c r="H12" i="37"/>
  <c r="G9" i="35"/>
  <c r="G25"/>
  <c r="G41"/>
  <c r="G57"/>
  <c r="G73"/>
  <c r="G89"/>
  <c r="G105"/>
  <c r="G121"/>
  <c r="G140"/>
  <c r="G156"/>
  <c r="G171"/>
  <c r="G186"/>
  <c r="G202"/>
  <c r="G218"/>
  <c r="G234"/>
  <c r="G252"/>
  <c r="G272"/>
  <c r="G287"/>
  <c r="G302"/>
  <c r="G316"/>
  <c r="G332"/>
  <c r="G349"/>
  <c r="G335"/>
  <c r="G317"/>
  <c r="G333"/>
  <c r="G350"/>
  <c r="G356"/>
  <c r="D54" i="31"/>
  <c r="E58"/>
  <c r="E56"/>
  <c r="C55"/>
  <c r="G315" i="35"/>
  <c r="G343"/>
  <c r="G326"/>
  <c r="G310"/>
  <c r="G319"/>
  <c r="G321"/>
  <c r="G353"/>
  <c r="G320"/>
  <c r="G290"/>
  <c r="G258"/>
  <c r="G226"/>
  <c r="G190"/>
  <c r="G161"/>
  <c r="G125"/>
  <c r="G93"/>
  <c r="G61"/>
  <c r="G29"/>
  <c r="H16" i="37"/>
  <c r="G289" i="35"/>
  <c r="G261"/>
  <c r="G230"/>
  <c r="G198"/>
  <c r="G166"/>
  <c r="G135"/>
  <c r="G104"/>
  <c r="G72"/>
  <c r="G36"/>
  <c r="G4"/>
  <c r="G296"/>
  <c r="G256"/>
  <c r="G211"/>
  <c r="G177"/>
  <c r="G142"/>
  <c r="G107"/>
  <c r="G75"/>
  <c r="G39"/>
  <c r="G7"/>
  <c r="G303"/>
  <c r="G274"/>
  <c r="G235"/>
  <c r="G206"/>
  <c r="G162"/>
  <c r="G131"/>
  <c r="G98"/>
  <c r="G67"/>
  <c r="G34"/>
  <c r="G2"/>
  <c r="H440" i="34"/>
  <c r="G440"/>
  <c r="G397" i="35"/>
  <c r="G401"/>
  <c r="G405"/>
  <c r="G409"/>
  <c r="G413"/>
  <c r="G417"/>
  <c r="G421"/>
  <c r="G425"/>
  <c r="G429"/>
  <c r="G433"/>
  <c r="G437"/>
  <c r="G441"/>
  <c r="G381"/>
  <c r="G385"/>
  <c r="G389"/>
  <c r="G393"/>
  <c r="G398"/>
  <c r="G402"/>
  <c r="G406"/>
  <c r="G410"/>
  <c r="G414"/>
  <c r="G418"/>
  <c r="G422"/>
  <c r="G426"/>
  <c r="G430"/>
  <c r="G434"/>
  <c r="G438"/>
  <c r="G442"/>
  <c r="G382"/>
  <c r="G386"/>
  <c r="G390"/>
  <c r="G394"/>
  <c r="G399"/>
  <c r="G403"/>
  <c r="G407"/>
  <c r="G411"/>
  <c r="G415"/>
  <c r="G419"/>
  <c r="G423"/>
  <c r="G427"/>
  <c r="G431"/>
  <c r="G435"/>
  <c r="G439"/>
  <c r="G443"/>
  <c r="G383"/>
  <c r="G387"/>
  <c r="G391"/>
  <c r="G395"/>
  <c r="G400"/>
  <c r="G404"/>
  <c r="G408"/>
  <c r="G412"/>
  <c r="G416"/>
  <c r="G420"/>
  <c r="G424"/>
  <c r="G428"/>
  <c r="G432"/>
  <c r="G436"/>
  <c r="G440"/>
  <c r="G444"/>
  <c r="G384"/>
  <c r="G388"/>
  <c r="G392"/>
  <c r="G396"/>
  <c r="AB31" i="32"/>
  <c r="D12" i="10"/>
  <c r="H357" i="35"/>
  <c r="H213"/>
  <c r="H349"/>
  <c r="H125"/>
  <c r="H261"/>
  <c r="H343"/>
  <c r="H248"/>
  <c r="H36"/>
  <c r="H305"/>
  <c r="H147"/>
  <c r="H281"/>
  <c r="P8" i="33" a="1"/>
  <c r="P8"/>
  <c r="H170" i="35"/>
  <c r="H238"/>
  <c r="H141"/>
  <c r="B15" i="37"/>
  <c r="O8" i="33" a="1"/>
  <c r="O8"/>
  <c r="H337" i="35"/>
  <c r="H275"/>
  <c r="H188"/>
  <c r="H105"/>
  <c r="H328"/>
  <c r="H212"/>
  <c r="H99"/>
  <c r="H327"/>
  <c r="H230"/>
  <c r="H108"/>
  <c r="H310"/>
  <c r="H154"/>
  <c r="H219"/>
  <c r="H78"/>
  <c r="H4"/>
  <c r="B5" i="37"/>
  <c r="H321" i="35"/>
  <c r="H258"/>
  <c r="H167"/>
  <c r="H84"/>
  <c r="H304"/>
  <c r="H186"/>
  <c r="H72"/>
  <c r="H303"/>
  <c r="H197"/>
  <c r="H81"/>
  <c r="H279"/>
  <c r="H107"/>
  <c r="H183"/>
  <c r="H46"/>
  <c r="H27"/>
  <c r="B10" i="37"/>
  <c r="B434" i="35"/>
  <c r="H438"/>
  <c r="B421"/>
  <c r="H417"/>
  <c r="H413"/>
  <c r="B409"/>
  <c r="H409"/>
  <c r="B400"/>
  <c r="H406"/>
  <c r="B386"/>
  <c r="B394"/>
  <c r="H384"/>
  <c r="H392"/>
  <c r="C445" i="38"/>
  <c r="C418"/>
  <c r="C424"/>
  <c r="C430"/>
  <c r="C436"/>
  <c r="C5"/>
  <c r="C9"/>
  <c r="C13"/>
  <c r="C17"/>
  <c r="C21"/>
  <c r="C25"/>
  <c r="C29"/>
  <c r="C33"/>
  <c r="C37"/>
  <c r="C41"/>
  <c r="C45"/>
  <c r="C49"/>
  <c r="C53"/>
  <c r="C57"/>
  <c r="C61"/>
  <c r="C65"/>
  <c r="C69"/>
  <c r="C73"/>
  <c r="C77"/>
  <c r="C81"/>
  <c r="C85"/>
  <c r="C89"/>
  <c r="C93"/>
  <c r="C97"/>
  <c r="C101"/>
  <c r="C105"/>
  <c r="C109"/>
  <c r="C113"/>
  <c r="C117"/>
  <c r="C121"/>
  <c r="C125"/>
  <c r="C129"/>
  <c r="C133"/>
  <c r="C138"/>
  <c r="C144"/>
  <c r="C149"/>
  <c r="C154"/>
  <c r="C160"/>
  <c r="C165"/>
  <c r="C170"/>
  <c r="C176"/>
  <c r="C181"/>
  <c r="C186"/>
  <c r="C192"/>
  <c r="C197"/>
  <c r="C202"/>
  <c r="C208"/>
  <c r="C213"/>
  <c r="C218"/>
  <c r="C224"/>
  <c r="C229"/>
  <c r="C234"/>
  <c r="C240"/>
  <c r="C245"/>
  <c r="C250"/>
  <c r="C256"/>
  <c r="C261"/>
  <c r="C266"/>
  <c r="C272"/>
  <c r="C277"/>
  <c r="B430" i="35"/>
  <c r="H434"/>
  <c r="H444"/>
  <c r="B419"/>
  <c r="B415"/>
  <c r="B406"/>
  <c r="H404"/>
  <c r="B384"/>
  <c r="B392"/>
  <c r="H382"/>
  <c r="H390"/>
  <c r="H398"/>
  <c r="C444" i="38"/>
  <c r="C416"/>
  <c r="C422"/>
  <c r="C428"/>
  <c r="C434"/>
  <c r="C4"/>
  <c r="C8"/>
  <c r="C12"/>
  <c r="C16"/>
  <c r="C20"/>
  <c r="C24"/>
  <c r="C28"/>
  <c r="C32"/>
  <c r="C36"/>
  <c r="C40"/>
  <c r="C44"/>
  <c r="C48"/>
  <c r="C52"/>
  <c r="C56"/>
  <c r="C60"/>
  <c r="C64"/>
  <c r="C68"/>
  <c r="C72"/>
  <c r="C76"/>
  <c r="C80"/>
  <c r="C84"/>
  <c r="C88"/>
  <c r="C92"/>
  <c r="C96"/>
  <c r="C100"/>
  <c r="C104"/>
  <c r="C108"/>
  <c r="C112"/>
  <c r="C116"/>
  <c r="C120"/>
  <c r="C124"/>
  <c r="C128"/>
  <c r="C132"/>
  <c r="C137"/>
  <c r="C142"/>
  <c r="C148"/>
  <c r="C153"/>
  <c r="C158"/>
  <c r="C164"/>
  <c r="C169"/>
  <c r="C174"/>
  <c r="C180"/>
  <c r="C185"/>
  <c r="C190"/>
  <c r="C196"/>
  <c r="C201"/>
  <c r="C206"/>
  <c r="C212"/>
  <c r="C217"/>
  <c r="C222"/>
  <c r="C228"/>
  <c r="C233"/>
  <c r="C238"/>
  <c r="C244"/>
  <c r="C249"/>
  <c r="C254"/>
  <c r="C260"/>
  <c r="C265"/>
  <c r="C270"/>
  <c r="C276"/>
  <c r="C280"/>
  <c r="C284"/>
  <c r="C290"/>
  <c r="C295"/>
  <c r="C299"/>
  <c r="C303"/>
  <c r="C307"/>
  <c r="C311"/>
  <c r="H440" i="35"/>
  <c r="B417"/>
  <c r="H419"/>
  <c r="B404"/>
  <c r="B396"/>
  <c r="H394"/>
  <c r="C442" i="38"/>
  <c r="C421"/>
  <c r="C433"/>
  <c r="C7"/>
  <c r="C15"/>
  <c r="C23"/>
  <c r="C31"/>
  <c r="C39"/>
  <c r="C47"/>
  <c r="C55"/>
  <c r="C63"/>
  <c r="C71"/>
  <c r="C79"/>
  <c r="C87"/>
  <c r="C95"/>
  <c r="C103"/>
  <c r="C111"/>
  <c r="C119"/>
  <c r="C127"/>
  <c r="C136"/>
  <c r="C146"/>
  <c r="C157"/>
  <c r="C168"/>
  <c r="C178"/>
  <c r="C189"/>
  <c r="C200"/>
  <c r="C210"/>
  <c r="C221"/>
  <c r="C232"/>
  <c r="C242"/>
  <c r="C253"/>
  <c r="C264"/>
  <c r="C274"/>
  <c r="C282"/>
  <c r="C288"/>
  <c r="C296"/>
  <c r="C301"/>
  <c r="C306"/>
  <c r="C312"/>
  <c r="C316"/>
  <c r="C320"/>
  <c r="C324"/>
  <c r="C328"/>
  <c r="C332"/>
  <c r="C336"/>
  <c r="C340"/>
  <c r="C344"/>
  <c r="C348"/>
  <c r="C352"/>
  <c r="C356"/>
  <c r="C360"/>
  <c r="C364"/>
  <c r="C368"/>
  <c r="C372"/>
  <c r="C376"/>
  <c r="C380"/>
  <c r="C384"/>
  <c r="C388"/>
  <c r="C392"/>
  <c r="C396"/>
  <c r="C400"/>
  <c r="C404"/>
  <c r="C408"/>
  <c r="F3" i="37"/>
  <c r="F7"/>
  <c r="F11"/>
  <c r="F15"/>
  <c r="F19"/>
  <c r="F23"/>
  <c r="F27"/>
  <c r="F31"/>
  <c r="F35"/>
  <c r="B34"/>
  <c r="B25"/>
  <c r="B29"/>
  <c r="B426" i="35"/>
  <c r="H442"/>
  <c r="H421"/>
  <c r="B413"/>
  <c r="B382"/>
  <c r="B398"/>
  <c r="H396"/>
  <c r="C412" i="38"/>
  <c r="C425"/>
  <c r="C437"/>
  <c r="C2"/>
  <c r="C10"/>
  <c r="C18"/>
  <c r="C26"/>
  <c r="C34"/>
  <c r="C42"/>
  <c r="C50"/>
  <c r="C58"/>
  <c r="C66"/>
  <c r="C74"/>
  <c r="C82"/>
  <c r="C90"/>
  <c r="C98"/>
  <c r="C106"/>
  <c r="C114"/>
  <c r="C122"/>
  <c r="C130"/>
  <c r="C140"/>
  <c r="C150"/>
  <c r="C161"/>
  <c r="C172"/>
  <c r="C182"/>
  <c r="C193"/>
  <c r="C204"/>
  <c r="C214"/>
  <c r="C225"/>
  <c r="C236"/>
  <c r="C246"/>
  <c r="C257"/>
  <c r="C268"/>
  <c r="C278"/>
  <c r="C283"/>
  <c r="C291"/>
  <c r="C297"/>
  <c r="C302"/>
  <c r="C308"/>
  <c r="C313"/>
  <c r="C317"/>
  <c r="C321"/>
  <c r="C325"/>
  <c r="C329"/>
  <c r="C333"/>
  <c r="C337"/>
  <c r="C341"/>
  <c r="C345"/>
  <c r="C349"/>
  <c r="C353"/>
  <c r="C357"/>
  <c r="C361"/>
  <c r="C365"/>
  <c r="C369"/>
  <c r="C373"/>
  <c r="C377"/>
  <c r="C381"/>
  <c r="C385"/>
  <c r="C389"/>
  <c r="C393"/>
  <c r="C397"/>
  <c r="C401"/>
  <c r="C405"/>
  <c r="C409"/>
  <c r="F4" i="37"/>
  <c r="F8"/>
  <c r="F12"/>
  <c r="F16"/>
  <c r="F20"/>
  <c r="F24"/>
  <c r="F28"/>
  <c r="F32"/>
  <c r="B33"/>
  <c r="B32"/>
  <c r="B28"/>
  <c r="H68" i="35"/>
  <c r="B402"/>
  <c r="H388"/>
  <c r="C420" i="38"/>
  <c r="C11"/>
  <c r="C27"/>
  <c r="C43"/>
  <c r="C59"/>
  <c r="C75"/>
  <c r="C91"/>
  <c r="C107"/>
  <c r="C123"/>
  <c r="C141"/>
  <c r="C162"/>
  <c r="C184"/>
  <c r="C205"/>
  <c r="C226"/>
  <c r="C248"/>
  <c r="C269"/>
  <c r="C286"/>
  <c r="C298"/>
  <c r="C309"/>
  <c r="C318"/>
  <c r="C326"/>
  <c r="C334"/>
  <c r="C342"/>
  <c r="C350"/>
  <c r="C358"/>
  <c r="C366"/>
  <c r="C374"/>
  <c r="C382"/>
  <c r="C390"/>
  <c r="C398"/>
  <c r="C406"/>
  <c r="F5" i="37"/>
  <c r="F13"/>
  <c r="F21"/>
  <c r="F29"/>
  <c r="B30"/>
  <c r="B68" i="35"/>
  <c r="B438"/>
  <c r="H426"/>
  <c r="B388"/>
  <c r="C427" i="38"/>
  <c r="C14"/>
  <c r="C30"/>
  <c r="C46"/>
  <c r="C62"/>
  <c r="C78"/>
  <c r="C94"/>
  <c r="C110"/>
  <c r="C126"/>
  <c r="C145"/>
  <c r="C166"/>
  <c r="C188"/>
  <c r="C209"/>
  <c r="C230"/>
  <c r="C252"/>
  <c r="C273"/>
  <c r="C287"/>
  <c r="C300"/>
  <c r="C310"/>
  <c r="C319"/>
  <c r="C327"/>
  <c r="C335"/>
  <c r="C343"/>
  <c r="C351"/>
  <c r="C359"/>
  <c r="C367"/>
  <c r="C375"/>
  <c r="C383"/>
  <c r="C391"/>
  <c r="C399"/>
  <c r="C407"/>
  <c r="F6" i="37"/>
  <c r="F14"/>
  <c r="F22"/>
  <c r="F30"/>
  <c r="B27"/>
  <c r="B442" i="35"/>
  <c r="H430"/>
  <c r="H400"/>
  <c r="B390"/>
  <c r="C440" i="38"/>
  <c r="C432"/>
  <c r="C3"/>
  <c r="C19"/>
  <c r="C35"/>
  <c r="C51"/>
  <c r="C67"/>
  <c r="C83"/>
  <c r="C99"/>
  <c r="C115"/>
  <c r="C131"/>
  <c r="C152"/>
  <c r="C173"/>
  <c r="C194"/>
  <c r="C216"/>
  <c r="C237"/>
  <c r="C258"/>
  <c r="C292"/>
  <c r="C54"/>
  <c r="C118"/>
  <c r="C198"/>
  <c r="C314"/>
  <c r="C330"/>
  <c r="C346"/>
  <c r="C362"/>
  <c r="C378"/>
  <c r="C394"/>
  <c r="C410"/>
  <c r="F17" i="37"/>
  <c r="F33"/>
  <c r="B31"/>
  <c r="H402" i="35"/>
  <c r="C414" i="38"/>
  <c r="C6"/>
  <c r="C70"/>
  <c r="C134"/>
  <c r="C220"/>
  <c r="C294"/>
  <c r="C315"/>
  <c r="C331"/>
  <c r="C347"/>
  <c r="C363"/>
  <c r="C379"/>
  <c r="C395"/>
  <c r="F2" i="37"/>
  <c r="F18"/>
  <c r="F34"/>
  <c r="E2" i="34"/>
  <c r="C21" i="1"/>
  <c r="C439" i="38"/>
  <c r="C22"/>
  <c r="C86"/>
  <c r="C156"/>
  <c r="C241"/>
  <c r="C304"/>
  <c r="C322"/>
  <c r="C338"/>
  <c r="C354"/>
  <c r="C370"/>
  <c r="C386"/>
  <c r="C402"/>
  <c r="F9" i="37"/>
  <c r="F25"/>
  <c r="C177" i="38"/>
  <c r="C339"/>
  <c r="C403"/>
  <c r="H415" i="35"/>
  <c r="C387" i="38"/>
  <c r="C262"/>
  <c r="C355"/>
  <c r="F10" i="37"/>
  <c r="C323" i="38"/>
  <c r="H386" i="35"/>
  <c r="C38" i="38"/>
  <c r="C305"/>
  <c r="C371"/>
  <c r="F26" i="37"/>
  <c r="C102" i="38"/>
  <c r="B26" i="37"/>
  <c r="C441" i="38"/>
  <c r="H385" i="35"/>
  <c r="B387"/>
  <c r="H399"/>
  <c r="H410"/>
  <c r="H412"/>
  <c r="B422"/>
  <c r="H433"/>
  <c r="B437"/>
  <c r="H436"/>
  <c r="B444"/>
  <c r="B428"/>
  <c r="C285" i="38"/>
  <c r="C271"/>
  <c r="C255"/>
  <c r="C239"/>
  <c r="C223"/>
  <c r="C207"/>
  <c r="C191"/>
  <c r="C175"/>
  <c r="C159"/>
  <c r="C143"/>
  <c r="C411"/>
  <c r="H387" i="35"/>
  <c r="B389"/>
  <c r="H401"/>
  <c r="B408"/>
  <c r="H416"/>
  <c r="H439"/>
  <c r="H423"/>
  <c r="B431"/>
  <c r="C443" i="38"/>
  <c r="B385" i="35"/>
  <c r="H414"/>
  <c r="H435"/>
  <c r="B427"/>
  <c r="B381"/>
  <c r="B416"/>
  <c r="H431"/>
  <c r="C423" i="38"/>
  <c r="B391" i="35"/>
  <c r="B411"/>
  <c r="B441"/>
  <c r="H424"/>
  <c r="C289" i="38"/>
  <c r="C227"/>
  <c r="C179"/>
  <c r="C163"/>
  <c r="C415"/>
  <c r="H405" i="35"/>
  <c r="H420"/>
  <c r="B435"/>
  <c r="B423"/>
  <c r="C429" i="38"/>
  <c r="C417"/>
  <c r="H397" i="35"/>
  <c r="H381"/>
  <c r="B383"/>
  <c r="B407"/>
  <c r="B410"/>
  <c r="B412"/>
  <c r="B418"/>
  <c r="H429"/>
  <c r="B433"/>
  <c r="H432"/>
  <c r="B440"/>
  <c r="B424"/>
  <c r="C281" i="38"/>
  <c r="C267"/>
  <c r="C251"/>
  <c r="C235"/>
  <c r="C219"/>
  <c r="C203"/>
  <c r="C187"/>
  <c r="C171"/>
  <c r="C155"/>
  <c r="C139"/>
  <c r="H383" i="35"/>
  <c r="B405"/>
  <c r="B420"/>
  <c r="B443"/>
  <c r="B397"/>
  <c r="B414"/>
  <c r="C435" i="38"/>
  <c r="H403" i="35"/>
  <c r="H418"/>
  <c r="B432"/>
  <c r="C259" i="38"/>
  <c r="C211"/>
  <c r="C147"/>
  <c r="H391" i="35"/>
  <c r="H408"/>
  <c r="H427"/>
  <c r="C438" i="38"/>
  <c r="C426"/>
  <c r="C413"/>
  <c r="H393" i="35"/>
  <c r="B395"/>
  <c r="H407"/>
  <c r="B403"/>
  <c r="H411"/>
  <c r="H422"/>
  <c r="H441"/>
  <c r="H425"/>
  <c r="B429"/>
  <c r="H428"/>
  <c r="B436"/>
  <c r="C293" i="38"/>
  <c r="C279"/>
  <c r="C263"/>
  <c r="C247"/>
  <c r="C231"/>
  <c r="C215"/>
  <c r="C199"/>
  <c r="C183"/>
  <c r="C167"/>
  <c r="C151"/>
  <c r="C135"/>
  <c r="C431"/>
  <c r="C419"/>
  <c r="H395" i="35"/>
  <c r="B401"/>
  <c r="B439"/>
  <c r="H389"/>
  <c r="B399"/>
  <c r="H437"/>
  <c r="B425"/>
  <c r="C275" i="38"/>
  <c r="C243"/>
  <c r="C195"/>
  <c r="B393" i="35"/>
  <c r="H443"/>
  <c r="E3" i="34"/>
  <c r="C22" i="1"/>
  <c r="D424" i="35"/>
  <c r="D428"/>
  <c r="D432"/>
  <c r="D436"/>
  <c r="D440"/>
  <c r="D444"/>
  <c r="D419"/>
  <c r="D414"/>
  <c r="D411"/>
  <c r="D401"/>
  <c r="D405"/>
  <c r="D382"/>
  <c r="D386"/>
  <c r="D390"/>
  <c r="D394"/>
  <c r="D398"/>
  <c r="D423"/>
  <c r="D431"/>
  <c r="D439"/>
  <c r="D418"/>
  <c r="D410"/>
  <c r="D385"/>
  <c r="D393"/>
  <c r="D425"/>
  <c r="D429"/>
  <c r="D433"/>
  <c r="D437"/>
  <c r="D441"/>
  <c r="D416"/>
  <c r="D420"/>
  <c r="D415"/>
  <c r="D408"/>
  <c r="D402"/>
  <c r="D406"/>
  <c r="D383"/>
  <c r="D387"/>
  <c r="D391"/>
  <c r="D395"/>
  <c r="D404"/>
  <c r="D426"/>
  <c r="D430"/>
  <c r="D434"/>
  <c r="D438"/>
  <c r="D442"/>
  <c r="D417"/>
  <c r="D421"/>
  <c r="D412"/>
  <c r="D409"/>
  <c r="D399"/>
  <c r="D403"/>
  <c r="D407"/>
  <c r="D384"/>
  <c r="D388"/>
  <c r="D392"/>
  <c r="D396"/>
  <c r="D427"/>
  <c r="D435"/>
  <c r="D443"/>
  <c r="D422"/>
  <c r="D413"/>
  <c r="D400"/>
  <c r="D381"/>
  <c r="D389"/>
  <c r="D397"/>
  <c r="H444" i="34"/>
  <c r="J444"/>
  <c r="G444"/>
  <c r="C31" i="37"/>
  <c r="C27"/>
  <c r="C30"/>
  <c r="C26"/>
  <c r="C34"/>
  <c r="C25"/>
  <c r="C29"/>
  <c r="C32"/>
  <c r="C33"/>
  <c r="C28"/>
  <c r="D68" i="35"/>
  <c r="F432" i="34"/>
  <c r="D29" i="10"/>
  <c r="H456" i="34"/>
  <c r="F55" i="31"/>
  <c r="F56"/>
  <c r="G56"/>
  <c r="F54"/>
  <c r="F53"/>
  <c r="F58"/>
  <c r="G58"/>
  <c r="D15" i="10"/>
  <c r="F57" i="31"/>
  <c r="G57"/>
  <c r="C16" i="14"/>
  <c r="D53" i="31"/>
  <c r="H31" i="37"/>
  <c r="H27"/>
  <c r="H30"/>
  <c r="H26"/>
  <c r="G68" i="35"/>
  <c r="H34" i="37"/>
  <c r="H25"/>
  <c r="H29"/>
  <c r="H33"/>
  <c r="H32"/>
  <c r="H28"/>
  <c r="F440" i="34"/>
  <c r="O25" i="10"/>
  <c r="O37"/>
  <c r="D50" i="11"/>
  <c r="M28" i="1"/>
  <c r="Q33" i="10"/>
  <c r="C18" i="1"/>
  <c r="D18" i="8"/>
  <c r="D18" i="2"/>
  <c r="C11" i="1"/>
  <c r="Q28" i="10"/>
  <c r="Q29"/>
  <c r="O29"/>
  <c r="N18"/>
  <c r="P17"/>
  <c r="J146" i="2"/>
  <c r="K19" i="14"/>
  <c r="C18" i="8"/>
  <c r="L19"/>
  <c r="K55" i="10"/>
  <c r="H43" i="36"/>
  <c r="C8"/>
  <c r="C8" i="8"/>
  <c r="C8" i="14"/>
  <c r="C8" i="2"/>
  <c r="D8" i="10"/>
  <c r="C11" i="2"/>
  <c r="C92" i="8"/>
  <c r="C94" i="14"/>
  <c r="D57" i="10"/>
  <c r="C45" i="36"/>
  <c r="D9" i="10"/>
  <c r="C9" i="14"/>
  <c r="C9" i="2"/>
  <c r="C9" i="36"/>
  <c r="C9" i="8"/>
  <c r="K8" i="14"/>
  <c r="L8" i="36"/>
  <c r="L8" i="2"/>
  <c r="Q8" i="10"/>
  <c r="L8" i="8"/>
  <c r="D148" i="35"/>
  <c r="L5" i="2"/>
  <c r="L5" i="8"/>
  <c r="L5" i="36"/>
  <c r="O55" i="10"/>
  <c r="J43" i="36"/>
  <c r="N10" i="1"/>
  <c r="Q10" i="10"/>
  <c r="K10" i="8"/>
  <c r="K10" i="2"/>
  <c r="K10" i="14"/>
  <c r="K10" i="36"/>
  <c r="B40" i="32"/>
  <c r="D55" i="10"/>
  <c r="C92" i="14"/>
  <c r="C43" i="36"/>
  <c r="C90" i="8"/>
  <c r="G42" i="32"/>
  <c r="B45"/>
  <c r="F43" i="36"/>
  <c r="H55" i="10"/>
  <c r="C5" i="14"/>
  <c r="C5" i="2"/>
  <c r="C5" i="8"/>
  <c r="C5" i="36"/>
  <c r="C5" i="1"/>
  <c r="Q6" i="10"/>
  <c r="L6" i="8"/>
  <c r="K6" i="14"/>
  <c r="L6" i="36"/>
  <c r="L6" i="2"/>
  <c r="C148"/>
  <c r="P6" i="33" a="1"/>
  <c r="P6"/>
  <c r="I22" i="1"/>
  <c r="H329" i="35"/>
  <c r="H297"/>
  <c r="H267"/>
  <c r="H225"/>
  <c r="H178"/>
  <c r="H116"/>
  <c r="H63"/>
  <c r="H336"/>
  <c r="H296"/>
  <c r="H236"/>
  <c r="H171"/>
  <c r="H115"/>
  <c r="H37"/>
  <c r="H335"/>
  <c r="H295"/>
  <c r="H245"/>
  <c r="H65"/>
  <c r="H361"/>
  <c r="H342"/>
  <c r="H325"/>
  <c r="H309"/>
  <c r="H293"/>
  <c r="H278"/>
  <c r="H263"/>
  <c r="H242"/>
  <c r="H221"/>
  <c r="H193"/>
  <c r="H174"/>
  <c r="H152"/>
  <c r="H133"/>
  <c r="H111"/>
  <c r="H89"/>
  <c r="H57"/>
  <c r="H353"/>
  <c r="H332"/>
  <c r="H312"/>
  <c r="H285"/>
  <c r="H257"/>
  <c r="H231"/>
  <c r="H192"/>
  <c r="H166"/>
  <c r="H135"/>
  <c r="H104"/>
  <c r="H77"/>
  <c r="H21"/>
  <c r="H352"/>
  <c r="H331"/>
  <c r="H311"/>
  <c r="H288"/>
  <c r="H269"/>
  <c r="H240"/>
  <c r="H201"/>
  <c r="H176"/>
  <c r="H150"/>
  <c r="H113"/>
  <c r="H87"/>
  <c r="H60"/>
  <c r="H354"/>
  <c r="H322"/>
  <c r="H290"/>
  <c r="H260"/>
  <c r="H209"/>
  <c r="H169"/>
  <c r="H123"/>
  <c r="H80"/>
  <c r="H265"/>
  <c r="H229"/>
  <c r="H196"/>
  <c r="H153"/>
  <c r="H122"/>
  <c r="H90"/>
  <c r="H58"/>
  <c r="H26"/>
  <c r="H48"/>
  <c r="H16"/>
  <c r="H39"/>
  <c r="H7"/>
  <c r="B7" i="37"/>
  <c r="B17"/>
  <c r="B12"/>
  <c r="O5" i="33" a="1"/>
  <c r="O5"/>
  <c r="H350" i="35"/>
  <c r="H333"/>
  <c r="H317"/>
  <c r="H301"/>
  <c r="H286"/>
  <c r="H271"/>
  <c r="H254"/>
  <c r="H228"/>
  <c r="H208"/>
  <c r="H182"/>
  <c r="H163"/>
  <c r="H142"/>
  <c r="H121"/>
  <c r="H100"/>
  <c r="H73"/>
  <c r="H9"/>
  <c r="H345"/>
  <c r="H320"/>
  <c r="H300"/>
  <c r="H270"/>
  <c r="H241"/>
  <c r="H207"/>
  <c r="H181"/>
  <c r="H146"/>
  <c r="H120"/>
  <c r="H93"/>
  <c r="H53"/>
  <c r="H363"/>
  <c r="H344"/>
  <c r="H319"/>
  <c r="H299"/>
  <c r="H280"/>
  <c r="H252"/>
  <c r="H216"/>
  <c r="H190"/>
  <c r="H161"/>
  <c r="H130"/>
  <c r="H103"/>
  <c r="H71"/>
  <c r="H17"/>
  <c r="H338"/>
  <c r="H306"/>
  <c r="H276"/>
  <c r="H233"/>
  <c r="H189"/>
  <c r="H148"/>
  <c r="H101"/>
  <c r="H59"/>
  <c r="H243"/>
  <c r="H214"/>
  <c r="H173"/>
  <c r="H137"/>
  <c r="H106"/>
  <c r="H74"/>
  <c r="H42"/>
  <c r="H10"/>
  <c r="H32"/>
  <c r="H55"/>
  <c r="H23"/>
  <c r="B6" i="37"/>
  <c r="B2"/>
  <c r="P7" i="33" a="1"/>
  <c r="P7"/>
  <c r="H346" i="35"/>
  <c r="H313"/>
  <c r="H282"/>
  <c r="H249"/>
  <c r="H199"/>
  <c r="H159"/>
  <c r="H136"/>
  <c r="H95"/>
  <c r="H360"/>
  <c r="H316"/>
  <c r="H262"/>
  <c r="H202"/>
  <c r="H140"/>
  <c r="H83"/>
  <c r="H359"/>
  <c r="H315"/>
  <c r="H274"/>
  <c r="H211"/>
  <c r="H180"/>
  <c r="H155"/>
  <c r="H124"/>
  <c r="H92"/>
  <c r="H358"/>
  <c r="H326"/>
  <c r="H294"/>
  <c r="H264"/>
  <c r="H215"/>
  <c r="H175"/>
  <c r="H128"/>
  <c r="H85"/>
  <c r="H13"/>
  <c r="H232"/>
  <c r="H203"/>
  <c r="H157"/>
  <c r="H126"/>
  <c r="H94"/>
  <c r="H62"/>
  <c r="H30"/>
  <c r="H52"/>
  <c r="H20"/>
  <c r="H43"/>
  <c r="H11"/>
  <c r="B19" i="37"/>
  <c r="B16"/>
  <c r="O9" i="33" a="1"/>
  <c r="O9"/>
  <c r="O3" a="1"/>
  <c r="O3"/>
  <c r="O7" a="1"/>
  <c r="O7"/>
  <c r="B4" i="37"/>
  <c r="B20"/>
  <c r="B9"/>
  <c r="B18"/>
  <c r="H15" i="35"/>
  <c r="H31"/>
  <c r="H47"/>
  <c r="H8"/>
  <c r="H24"/>
  <c r="H40"/>
  <c r="H56"/>
  <c r="H18"/>
  <c r="H34"/>
  <c r="H50"/>
  <c r="H67"/>
  <c r="H82"/>
  <c r="H98"/>
  <c r="H114"/>
  <c r="H131"/>
  <c r="H145"/>
  <c r="H162"/>
  <c r="H187"/>
  <c r="H206"/>
  <c r="H224"/>
  <c r="H235"/>
  <c r="H255"/>
  <c r="H29"/>
  <c r="H69"/>
  <c r="H91"/>
  <c r="H112"/>
  <c r="H138"/>
  <c r="H160"/>
  <c r="H179"/>
  <c r="H200"/>
  <c r="H222"/>
  <c r="H244"/>
  <c r="H268"/>
  <c r="H283"/>
  <c r="H298"/>
  <c r="H314"/>
  <c r="H330"/>
  <c r="H347"/>
  <c r="H362"/>
  <c r="H49"/>
  <c r="H76"/>
  <c r="H97"/>
  <c r="H119"/>
  <c r="H144"/>
  <c r="H165"/>
  <c r="H185"/>
  <c r="H205"/>
  <c r="H234"/>
  <c r="H256"/>
  <c r="H277"/>
  <c r="H291"/>
  <c r="H307"/>
  <c r="H323"/>
  <c r="H339"/>
  <c r="H355"/>
  <c r="H5"/>
  <c r="H61"/>
  <c r="H88"/>
  <c r="H109"/>
  <c r="H132"/>
  <c r="H151"/>
  <c r="H177"/>
  <c r="H198"/>
  <c r="H218"/>
  <c r="H246"/>
  <c r="H266"/>
  <c r="H292"/>
  <c r="H308"/>
  <c r="H324"/>
  <c r="H340"/>
  <c r="H356"/>
  <c r="H41"/>
  <c r="H79"/>
  <c r="O6" i="33" a="1"/>
  <c r="O6"/>
  <c r="B8" i="37"/>
  <c r="B11"/>
  <c r="B13"/>
  <c r="B3"/>
  <c r="H3" i="35"/>
  <c r="H19"/>
  <c r="H35"/>
  <c r="H51"/>
  <c r="H12"/>
  <c r="H28"/>
  <c r="H44"/>
  <c r="H6"/>
  <c r="H22"/>
  <c r="H38"/>
  <c r="H54"/>
  <c r="H70"/>
  <c r="H86"/>
  <c r="H102"/>
  <c r="H118"/>
  <c r="H134"/>
  <c r="H149"/>
  <c r="H168"/>
  <c r="H191"/>
  <c r="H210"/>
  <c r="H227"/>
  <c r="H239"/>
  <c r="H259"/>
  <c r="H45"/>
  <c r="H75"/>
  <c r="H96"/>
  <c r="H117"/>
  <c r="H143"/>
  <c r="H164"/>
  <c r="H184"/>
  <c r="H204"/>
  <c r="H226"/>
  <c r="H251"/>
  <c r="H272"/>
  <c r="H287"/>
  <c r="H302"/>
  <c r="H318"/>
  <c r="H334"/>
  <c r="H351"/>
  <c r="P9" i="33" a="1"/>
  <c r="P9"/>
  <c r="AB52" i="32"/>
  <c r="AB10"/>
  <c r="W3" i="33"/>
  <c r="X3"/>
  <c r="N8" i="1"/>
  <c r="K18" i="36"/>
  <c r="D18" i="1"/>
  <c r="C9"/>
  <c r="D89"/>
  <c r="D18" i="14"/>
  <c r="AA64" i="32"/>
  <c r="Y64"/>
  <c r="K18" i="2"/>
  <c r="I18" i="1"/>
  <c r="I89"/>
  <c r="F2" i="34"/>
  <c r="I21" i="1"/>
  <c r="M36"/>
  <c r="M60"/>
  <c r="D12" i="35"/>
  <c r="D17"/>
  <c r="D324"/>
  <c r="Y4" i="33"/>
  <c r="I444" i="34"/>
  <c r="I1" i="33"/>
  <c r="H35" i="37"/>
  <c r="H24"/>
  <c r="I18" i="14"/>
  <c r="D133" i="35"/>
  <c r="G17" i="10"/>
  <c r="C13" i="37"/>
  <c r="B24"/>
  <c r="B35"/>
  <c r="D331" i="35"/>
  <c r="C35" i="37"/>
  <c r="C24"/>
  <c r="AB22" i="32"/>
  <c r="B19"/>
  <c r="K19" i="36"/>
  <c r="N6" i="1"/>
  <c r="I18" i="36"/>
  <c r="I18" i="8"/>
  <c r="D267" i="35"/>
  <c r="K19" i="2"/>
  <c r="Y35" i="32"/>
  <c r="Q16" i="10"/>
  <c r="O23"/>
  <c r="Q23"/>
  <c r="M68" i="1"/>
  <c r="C146" i="2"/>
  <c r="C89" i="1"/>
  <c r="H2" i="35"/>
  <c r="B5"/>
  <c r="B9"/>
  <c r="B13"/>
  <c r="B17"/>
  <c r="B21"/>
  <c r="B25"/>
  <c r="B29"/>
  <c r="B33"/>
  <c r="B37"/>
  <c r="B41"/>
  <c r="B45"/>
  <c r="B49"/>
  <c r="B53"/>
  <c r="B57"/>
  <c r="B61"/>
  <c r="B65"/>
  <c r="B70"/>
  <c r="B74"/>
  <c r="B78"/>
  <c r="B82"/>
  <c r="B86"/>
  <c r="B90"/>
  <c r="B94"/>
  <c r="B98"/>
  <c r="B102"/>
  <c r="B106"/>
  <c r="B110"/>
  <c r="B114"/>
  <c r="B118"/>
  <c r="B122"/>
  <c r="B126"/>
  <c r="B130"/>
  <c r="B134"/>
  <c r="B138"/>
  <c r="B142"/>
  <c r="B146"/>
  <c r="B150"/>
  <c r="B154"/>
  <c r="B158"/>
  <c r="B162"/>
  <c r="B166"/>
  <c r="B170"/>
  <c r="B174"/>
  <c r="B178"/>
  <c r="B182"/>
  <c r="B186"/>
  <c r="B190"/>
  <c r="B194"/>
  <c r="B198"/>
  <c r="B202"/>
  <c r="B206"/>
  <c r="B210"/>
  <c r="B214"/>
  <c r="B218"/>
  <c r="B222"/>
  <c r="B226"/>
  <c r="B230"/>
  <c r="B234"/>
  <c r="B238"/>
  <c r="B242"/>
  <c r="B246"/>
  <c r="B250"/>
  <c r="B254"/>
  <c r="B258"/>
  <c r="B262"/>
  <c r="B266"/>
  <c r="B270"/>
  <c r="B274"/>
  <c r="B278"/>
  <c r="B282"/>
  <c r="B286"/>
  <c r="B290"/>
  <c r="B294"/>
  <c r="B298"/>
  <c r="B302"/>
  <c r="B306"/>
  <c r="B310"/>
  <c r="B314"/>
  <c r="B318"/>
  <c r="B322"/>
  <c r="B326"/>
  <c r="B330"/>
  <c r="B334"/>
  <c r="B338"/>
  <c r="B2"/>
  <c r="B6"/>
  <c r="B10"/>
  <c r="B14"/>
  <c r="B18"/>
  <c r="B22"/>
  <c r="B26"/>
  <c r="B30"/>
  <c r="B34"/>
  <c r="B38"/>
  <c r="B42"/>
  <c r="B46"/>
  <c r="B50"/>
  <c r="B54"/>
  <c r="B58"/>
  <c r="B62"/>
  <c r="B66"/>
  <c r="B71"/>
  <c r="B75"/>
  <c r="B79"/>
  <c r="B83"/>
  <c r="B87"/>
  <c r="B91"/>
  <c r="B95"/>
  <c r="B99"/>
  <c r="B103"/>
  <c r="B107"/>
  <c r="B111"/>
  <c r="B115"/>
  <c r="B119"/>
  <c r="B123"/>
  <c r="B127"/>
  <c r="B131"/>
  <c r="B135"/>
  <c r="B139"/>
  <c r="B143"/>
  <c r="B147"/>
  <c r="B151"/>
  <c r="B155"/>
  <c r="B159"/>
  <c r="B163"/>
  <c r="B167"/>
  <c r="B171"/>
  <c r="B175"/>
  <c r="B179"/>
  <c r="B183"/>
  <c r="B187"/>
  <c r="B191"/>
  <c r="B195"/>
  <c r="B199"/>
  <c r="B203"/>
  <c r="B207"/>
  <c r="B211"/>
  <c r="B215"/>
  <c r="B219"/>
  <c r="B223"/>
  <c r="B227"/>
  <c r="B231"/>
  <c r="B235"/>
  <c r="B239"/>
  <c r="B243"/>
  <c r="B247"/>
  <c r="B251"/>
  <c r="B255"/>
  <c r="B259"/>
  <c r="B263"/>
  <c r="B267"/>
  <c r="B271"/>
  <c r="B275"/>
  <c r="B279"/>
  <c r="B283"/>
  <c r="B287"/>
  <c r="B291"/>
  <c r="B295"/>
  <c r="B299"/>
  <c r="B303"/>
  <c r="B307"/>
  <c r="B311"/>
  <c r="B3"/>
  <c r="B7"/>
  <c r="B11"/>
  <c r="B15"/>
  <c r="B19"/>
  <c r="B23"/>
  <c r="B27"/>
  <c r="B31"/>
  <c r="B35"/>
  <c r="B39"/>
  <c r="B43"/>
  <c r="B47"/>
  <c r="B51"/>
  <c r="B55"/>
  <c r="B59"/>
  <c r="B63"/>
  <c r="B67"/>
  <c r="B72"/>
  <c r="B76"/>
  <c r="B80"/>
  <c r="B84"/>
  <c r="B88"/>
  <c r="B92"/>
  <c r="B96"/>
  <c r="B100"/>
  <c r="B104"/>
  <c r="B108"/>
  <c r="B112"/>
  <c r="B116"/>
  <c r="B120"/>
  <c r="B124"/>
  <c r="B128"/>
  <c r="B132"/>
  <c r="B136"/>
  <c r="B140"/>
  <c r="B144"/>
  <c r="B148"/>
  <c r="B152"/>
  <c r="B156"/>
  <c r="B160"/>
  <c r="B164"/>
  <c r="B168"/>
  <c r="B172"/>
  <c r="B176"/>
  <c r="B180"/>
  <c r="B184"/>
  <c r="B188"/>
  <c r="B192"/>
  <c r="B196"/>
  <c r="B200"/>
  <c r="B204"/>
  <c r="B208"/>
  <c r="B212"/>
  <c r="B216"/>
  <c r="B220"/>
  <c r="B224"/>
  <c r="B228"/>
  <c r="B232"/>
  <c r="B236"/>
  <c r="B240"/>
  <c r="B244"/>
  <c r="B248"/>
  <c r="B252"/>
  <c r="B256"/>
  <c r="B260"/>
  <c r="B264"/>
  <c r="B268"/>
  <c r="B272"/>
  <c r="B276"/>
  <c r="B280"/>
  <c r="B284"/>
  <c r="B288"/>
  <c r="B292"/>
  <c r="B296"/>
  <c r="B300"/>
  <c r="B304"/>
  <c r="B308"/>
  <c r="B312"/>
  <c r="B316"/>
  <c r="B320"/>
  <c r="B324"/>
  <c r="B328"/>
  <c r="B332"/>
  <c r="B336"/>
  <c r="B340"/>
  <c r="B4"/>
  <c r="B8"/>
  <c r="B12"/>
  <c r="B16"/>
  <c r="B20"/>
  <c r="B24"/>
  <c r="B28"/>
  <c r="B32"/>
  <c r="B36"/>
  <c r="B40"/>
  <c r="B44"/>
  <c r="B48"/>
  <c r="B52"/>
  <c r="B56"/>
  <c r="B60"/>
  <c r="B64"/>
  <c r="B69"/>
  <c r="B73"/>
  <c r="B77"/>
  <c r="B81"/>
  <c r="B85"/>
  <c r="B89"/>
  <c r="B93"/>
  <c r="B97"/>
  <c r="B101"/>
  <c r="B105"/>
  <c r="B109"/>
  <c r="B113"/>
  <c r="B117"/>
  <c r="B121"/>
  <c r="B125"/>
  <c r="B129"/>
  <c r="B133"/>
  <c r="B137"/>
  <c r="B141"/>
  <c r="B145"/>
  <c r="B149"/>
  <c r="B153"/>
  <c r="B157"/>
  <c r="B161"/>
  <c r="B165"/>
  <c r="B169"/>
  <c r="B173"/>
  <c r="B177"/>
  <c r="B181"/>
  <c r="B185"/>
  <c r="B189"/>
  <c r="B193"/>
  <c r="B197"/>
  <c r="B201"/>
  <c r="B205"/>
  <c r="B209"/>
  <c r="B213"/>
  <c r="B217"/>
  <c r="B221"/>
  <c r="B225"/>
  <c r="B229"/>
  <c r="B233"/>
  <c r="B237"/>
  <c r="B241"/>
  <c r="B245"/>
  <c r="B249"/>
  <c r="B253"/>
  <c r="B257"/>
  <c r="B261"/>
  <c r="B265"/>
  <c r="B269"/>
  <c r="B273"/>
  <c r="B277"/>
  <c r="B281"/>
  <c r="B297"/>
  <c r="B313"/>
  <c r="B321"/>
  <c r="B329"/>
  <c r="B337"/>
  <c r="B343"/>
  <c r="B347"/>
  <c r="B351"/>
  <c r="B355"/>
  <c r="B359"/>
  <c r="B363"/>
  <c r="B367"/>
  <c r="B371"/>
  <c r="B375"/>
  <c r="B379"/>
  <c r="B285"/>
  <c r="B301"/>
  <c r="B315"/>
  <c r="B323"/>
  <c r="B331"/>
  <c r="B339"/>
  <c r="B344"/>
  <c r="B348"/>
  <c r="B352"/>
  <c r="B356"/>
  <c r="B360"/>
  <c r="B364"/>
  <c r="B368"/>
  <c r="B372"/>
  <c r="B376"/>
  <c r="B380"/>
  <c r="B289"/>
  <c r="B305"/>
  <c r="B317"/>
  <c r="B325"/>
  <c r="B333"/>
  <c r="B341"/>
  <c r="B345"/>
  <c r="B349"/>
  <c r="B353"/>
  <c r="B357"/>
  <c r="B361"/>
  <c r="B365"/>
  <c r="B369"/>
  <c r="B373"/>
  <c r="B377"/>
  <c r="P4" i="33" a="1"/>
  <c r="P4"/>
  <c r="B293" i="35"/>
  <c r="B309"/>
  <c r="B319"/>
  <c r="B327"/>
  <c r="B335"/>
  <c r="B342"/>
  <c r="B346"/>
  <c r="B350"/>
  <c r="B354"/>
  <c r="B358"/>
  <c r="B362"/>
  <c r="B366"/>
  <c r="B370"/>
  <c r="B374"/>
  <c r="B378"/>
  <c r="O4" i="33" a="1"/>
  <c r="O4"/>
  <c r="H378" i="35"/>
  <c r="H364"/>
  <c r="H368"/>
  <c r="H372"/>
  <c r="H376"/>
  <c r="B21" i="37"/>
  <c r="H379" i="35"/>
  <c r="H365"/>
  <c r="H369"/>
  <c r="H373"/>
  <c r="H377"/>
  <c r="B23" i="37"/>
  <c r="H371" i="35"/>
  <c r="B22" i="37"/>
  <c r="H380" i="35"/>
  <c r="H366"/>
  <c r="H370"/>
  <c r="H374"/>
  <c r="H367"/>
  <c r="H375"/>
  <c r="F3" i="34"/>
  <c r="M42" i="1"/>
  <c r="L17" i="2"/>
  <c r="Z35" i="32"/>
  <c r="B22"/>
  <c r="M53" i="1"/>
  <c r="M61"/>
  <c r="M77"/>
  <c r="M23"/>
  <c r="D176" i="35"/>
  <c r="D40"/>
  <c r="D188"/>
  <c r="D266"/>
  <c r="D64"/>
  <c r="D329"/>
  <c r="D166"/>
  <c r="D326"/>
  <c r="D13"/>
  <c r="D156"/>
  <c r="D19"/>
  <c r="D254"/>
  <c r="D45"/>
  <c r="D346"/>
  <c r="D157"/>
  <c r="C8" i="37"/>
  <c r="D131" i="35"/>
  <c r="D8"/>
  <c r="D142"/>
  <c r="D161"/>
  <c r="D54"/>
  <c r="D229"/>
  <c r="D108"/>
  <c r="D219"/>
  <c r="D128"/>
  <c r="D310"/>
  <c r="D319"/>
  <c r="D93"/>
  <c r="D164"/>
  <c r="D169"/>
  <c r="D358"/>
  <c r="D159"/>
  <c r="D235"/>
  <c r="D307"/>
  <c r="D112"/>
  <c r="D175"/>
  <c r="D313"/>
  <c r="D34"/>
  <c r="D205"/>
  <c r="D121"/>
  <c r="D265"/>
  <c r="D305"/>
  <c r="D286"/>
  <c r="D43"/>
  <c r="C16" i="37"/>
  <c r="D90" i="35"/>
  <c r="D321"/>
  <c r="D89"/>
  <c r="D165"/>
  <c r="D100"/>
  <c r="D23"/>
  <c r="D24"/>
  <c r="D271"/>
  <c r="D334"/>
  <c r="D84"/>
  <c r="D283"/>
  <c r="D221"/>
  <c r="D214"/>
  <c r="D281"/>
  <c r="D210"/>
  <c r="D215"/>
  <c r="D234"/>
  <c r="D109"/>
  <c r="D137"/>
  <c r="D168"/>
  <c r="D135"/>
  <c r="D25"/>
  <c r="D227"/>
  <c r="D352"/>
  <c r="D72"/>
  <c r="D231"/>
  <c r="D275"/>
  <c r="D184"/>
  <c r="C14" i="37"/>
  <c r="D284" i="35"/>
  <c r="D115"/>
  <c r="D288"/>
  <c r="C4" i="37"/>
  <c r="D111" i="35"/>
  <c r="D114"/>
  <c r="D259"/>
  <c r="D53"/>
  <c r="D143"/>
  <c r="D33"/>
  <c r="D263"/>
  <c r="D174"/>
  <c r="D140"/>
  <c r="D171"/>
  <c r="D287"/>
  <c r="D183"/>
  <c r="D245"/>
  <c r="D278"/>
  <c r="C17" i="37"/>
  <c r="D130" i="35"/>
  <c r="D353"/>
  <c r="D311"/>
  <c r="D318"/>
  <c r="D162"/>
  <c r="D153"/>
  <c r="C5" i="37"/>
  <c r="D260" i="35"/>
  <c r="D51"/>
  <c r="D55"/>
  <c r="D251"/>
  <c r="D345"/>
  <c r="D290"/>
  <c r="D120"/>
  <c r="D82"/>
  <c r="D16"/>
  <c r="D252"/>
  <c r="D48"/>
  <c r="C10" i="37"/>
  <c r="D270" i="35"/>
  <c r="D149"/>
  <c r="D105"/>
  <c r="D103"/>
  <c r="D323"/>
  <c r="D193"/>
  <c r="D343"/>
  <c r="D200"/>
  <c r="D303"/>
  <c r="D70"/>
  <c r="D191"/>
  <c r="D236"/>
  <c r="D94"/>
  <c r="D113"/>
  <c r="D261"/>
  <c r="D211"/>
  <c r="D357"/>
  <c r="Z74" i="32"/>
  <c r="AB74"/>
  <c r="M89" i="1"/>
  <c r="K17" i="8"/>
  <c r="I146" i="2"/>
  <c r="C18"/>
  <c r="N17" i="1"/>
  <c r="C8"/>
  <c r="D36" i="35"/>
  <c r="C18" i="14"/>
  <c r="L17" i="36"/>
  <c r="D201" i="35"/>
  <c r="D97"/>
  <c r="D209"/>
  <c r="D155"/>
  <c r="D280"/>
  <c r="D182"/>
  <c r="D241"/>
  <c r="D59"/>
  <c r="D32"/>
  <c r="D118"/>
  <c r="D293"/>
  <c r="D14"/>
  <c r="D132"/>
  <c r="D146"/>
  <c r="D333"/>
  <c r="D356"/>
  <c r="D212"/>
  <c r="D302"/>
  <c r="D225"/>
  <c r="D74"/>
  <c r="D134"/>
  <c r="D291"/>
  <c r="D152"/>
  <c r="D5"/>
  <c r="D337"/>
  <c r="D351"/>
  <c r="C12" i="37"/>
  <c r="D47" i="35"/>
  <c r="G379"/>
  <c r="H21" i="37"/>
  <c r="G380" i="35"/>
  <c r="G365"/>
  <c r="G369"/>
  <c r="G373"/>
  <c r="G377"/>
  <c r="H22" i="37"/>
  <c r="G366" i="35"/>
  <c r="G370"/>
  <c r="G374"/>
  <c r="H23" i="37"/>
  <c r="G378" i="35"/>
  <c r="G367"/>
  <c r="G371"/>
  <c r="G375"/>
  <c r="G364"/>
  <c r="G368"/>
  <c r="G372"/>
  <c r="G376"/>
  <c r="D138"/>
  <c r="C21" i="37"/>
  <c r="D380" i="35"/>
  <c r="D364"/>
  <c r="D376"/>
  <c r="C22" i="37"/>
  <c r="D365" i="35"/>
  <c r="D369"/>
  <c r="D373"/>
  <c r="D377"/>
  <c r="C23" i="37"/>
  <c r="D378" i="35"/>
  <c r="D366"/>
  <c r="D370"/>
  <c r="D374"/>
  <c r="D379"/>
  <c r="D367"/>
  <c r="D371"/>
  <c r="D375"/>
  <c r="D368"/>
  <c r="D372"/>
  <c r="D69"/>
  <c r="D185"/>
  <c r="D18"/>
  <c r="D116"/>
  <c r="D67"/>
  <c r="C11" i="37"/>
  <c r="D230" i="35"/>
  <c r="D99"/>
  <c r="D21"/>
  <c r="D87"/>
  <c r="D150"/>
  <c r="D338"/>
  <c r="D126"/>
  <c r="D2"/>
  <c r="D122"/>
  <c r="D11"/>
  <c r="D31"/>
  <c r="D258"/>
  <c r="D38"/>
  <c r="C20" i="37"/>
  <c r="D187" i="35"/>
  <c r="D7"/>
  <c r="D173"/>
  <c r="D91"/>
  <c r="D300"/>
  <c r="D92"/>
  <c r="D110"/>
  <c r="D76"/>
  <c r="D361"/>
  <c r="D292"/>
  <c r="C2" i="37"/>
  <c r="D256" i="35"/>
  <c r="D232"/>
  <c r="B24" i="32"/>
  <c r="L19" i="2"/>
  <c r="D206" i="35"/>
  <c r="D304"/>
  <c r="D192"/>
  <c r="D197"/>
  <c r="D83"/>
  <c r="D57"/>
  <c r="D360"/>
  <c r="D257"/>
  <c r="D60"/>
  <c r="D42" i="32"/>
  <c r="D28" i="35"/>
  <c r="D9"/>
  <c r="D202"/>
  <c r="D81"/>
  <c r="D339"/>
  <c r="D289"/>
  <c r="AB17" i="32"/>
  <c r="AB47"/>
  <c r="D322" i="35"/>
  <c r="D203"/>
  <c r="D101"/>
  <c r="D189"/>
  <c r="D6"/>
  <c r="D196"/>
  <c r="D233"/>
  <c r="D344"/>
  <c r="AB56" i="32"/>
  <c r="D272" i="35"/>
  <c r="C3" i="37"/>
  <c r="D123" i="35"/>
  <c r="D12" i="32"/>
  <c r="AB12"/>
  <c r="D238" i="35"/>
  <c r="D244"/>
  <c r="D282"/>
  <c r="D42"/>
  <c r="D342"/>
  <c r="Z27" i="32"/>
  <c r="AB27"/>
  <c r="Z24"/>
  <c r="AB24"/>
  <c r="D308" i="35"/>
  <c r="D147"/>
  <c r="D75"/>
  <c r="D296"/>
  <c r="D312"/>
  <c r="D208"/>
  <c r="D222"/>
  <c r="D22"/>
  <c r="D181"/>
  <c r="D39"/>
  <c r="Y33" i="32"/>
  <c r="D20" i="35"/>
  <c r="D104"/>
  <c r="D279"/>
  <c r="D190"/>
  <c r="D26"/>
  <c r="D354"/>
  <c r="D269"/>
  <c r="D328"/>
  <c r="D29"/>
  <c r="D362"/>
  <c r="D107"/>
  <c r="D264"/>
  <c r="N5" i="1"/>
  <c r="D347" i="35"/>
  <c r="C6" i="37"/>
  <c r="D237" i="35"/>
  <c r="D298"/>
  <c r="D216"/>
  <c r="D277"/>
  <c r="D348"/>
  <c r="D44"/>
  <c r="D226"/>
  <c r="D177"/>
  <c r="D80"/>
  <c r="D106"/>
  <c r="D77"/>
  <c r="D35"/>
  <c r="D316"/>
  <c r="D62"/>
  <c r="D213"/>
  <c r="D78"/>
  <c r="D309"/>
  <c r="D336"/>
  <c r="D136"/>
  <c r="D255"/>
  <c r="D349"/>
  <c r="D88"/>
  <c r="D315"/>
  <c r="D151"/>
  <c r="C42" i="14"/>
  <c r="C38"/>
  <c r="C34"/>
  <c r="C30"/>
  <c r="C26"/>
  <c r="C22"/>
  <c r="C90"/>
  <c r="D87"/>
  <c r="C89"/>
  <c r="D88"/>
  <c r="C87"/>
  <c r="C88"/>
  <c r="C74"/>
  <c r="C70"/>
  <c r="C66"/>
  <c r="C61"/>
  <c r="C57"/>
  <c r="C53"/>
  <c r="C49"/>
  <c r="C63"/>
  <c r="C86"/>
  <c r="C82"/>
  <c r="C25"/>
  <c r="C77"/>
  <c r="C73"/>
  <c r="C69"/>
  <c r="C65"/>
  <c r="C60"/>
  <c r="C56"/>
  <c r="C52"/>
  <c r="C48"/>
  <c r="C85"/>
  <c r="C81"/>
  <c r="C44"/>
  <c r="C40"/>
  <c r="C36"/>
  <c r="C32"/>
  <c r="C28"/>
  <c r="C24"/>
  <c r="C76"/>
  <c r="C72"/>
  <c r="C68"/>
  <c r="C64"/>
  <c r="C59"/>
  <c r="C55"/>
  <c r="D55"/>
  <c r="C51"/>
  <c r="C47"/>
  <c r="C84"/>
  <c r="C80"/>
  <c r="H273" i="35"/>
  <c r="H250"/>
  <c r="H247"/>
  <c r="H223"/>
  <c r="H220"/>
  <c r="H217"/>
  <c r="H195"/>
  <c r="H172"/>
  <c r="H158"/>
  <c r="H129"/>
  <c r="H66"/>
  <c r="C43" i="14"/>
  <c r="D39"/>
  <c r="C39"/>
  <c r="C31"/>
  <c r="C27"/>
  <c r="C75"/>
  <c r="C71"/>
  <c r="C67"/>
  <c r="C62"/>
  <c r="C58"/>
  <c r="C54"/>
  <c r="C50"/>
  <c r="C46"/>
  <c r="C83"/>
  <c r="C79"/>
  <c r="D335" i="35"/>
  <c r="H341"/>
  <c r="D89" i="14"/>
  <c r="D90"/>
  <c r="C14" i="1"/>
  <c r="D247" i="35"/>
  <c r="D223"/>
  <c r="D195"/>
  <c r="D158"/>
  <c r="D129"/>
  <c r="D341"/>
  <c r="D273"/>
  <c r="D250"/>
  <c r="D220"/>
  <c r="D217"/>
  <c r="D172"/>
  <c r="D66"/>
  <c r="D294"/>
  <c r="AB20" i="32"/>
  <c r="C7" i="36"/>
  <c r="G358" i="35"/>
  <c r="G341"/>
  <c r="G273"/>
  <c r="G250"/>
  <c r="G247"/>
  <c r="G223"/>
  <c r="G220"/>
  <c r="G217"/>
  <c r="G195"/>
  <c r="G172"/>
  <c r="G158"/>
  <c r="G129"/>
  <c r="G66"/>
  <c r="D41"/>
  <c r="D139"/>
  <c r="D56"/>
  <c r="D180"/>
  <c r="D242"/>
  <c r="D330"/>
  <c r="D297"/>
  <c r="D204"/>
  <c r="D125"/>
  <c r="C18" i="37"/>
  <c r="D327" i="35"/>
  <c r="D127"/>
  <c r="D262"/>
  <c r="D86"/>
  <c r="D15"/>
  <c r="D306"/>
  <c r="D268"/>
  <c r="D332"/>
  <c r="D170"/>
  <c r="D46"/>
  <c r="D239"/>
  <c r="D27"/>
  <c r="D167"/>
  <c r="D179"/>
  <c r="D58"/>
  <c r="D4"/>
  <c r="D295"/>
  <c r="D299"/>
  <c r="D314"/>
  <c r="D30"/>
  <c r="D37"/>
  <c r="D340"/>
  <c r="D79"/>
  <c r="D141"/>
  <c r="D65"/>
  <c r="D243"/>
  <c r="D320"/>
  <c r="D154"/>
  <c r="D61"/>
  <c r="D207"/>
  <c r="D317"/>
  <c r="D199"/>
  <c r="D124"/>
  <c r="D3"/>
  <c r="D276"/>
  <c r="D253"/>
  <c r="D249"/>
  <c r="D218"/>
  <c r="D50"/>
  <c r="D285"/>
  <c r="D96"/>
  <c r="D49"/>
  <c r="D350"/>
  <c r="D160"/>
  <c r="D186"/>
  <c r="C7" i="37"/>
  <c r="D355" i="35"/>
  <c r="D163"/>
  <c r="D63"/>
  <c r="C19" i="37"/>
  <c r="D117" i="35"/>
  <c r="C15" i="37"/>
  <c r="D144" i="35"/>
  <c r="D248"/>
  <c r="D240"/>
  <c r="C9" i="37"/>
  <c r="D194" i="35"/>
  <c r="D228"/>
  <c r="D85"/>
  <c r="D145"/>
  <c r="D102"/>
  <c r="D119"/>
  <c r="D10"/>
  <c r="D359"/>
  <c r="D73"/>
  <c r="D198"/>
  <c r="D246"/>
  <c r="D274"/>
  <c r="D301"/>
  <c r="D98"/>
  <c r="D178"/>
  <c r="D71"/>
  <c r="D325"/>
  <c r="D52"/>
  <c r="D95"/>
  <c r="D363"/>
  <c r="D224"/>
  <c r="AB8" i="32"/>
  <c r="F349" i="38"/>
  <c r="F307"/>
  <c r="F284"/>
  <c r="F298"/>
  <c r="F314"/>
  <c r="F271"/>
  <c r="F316"/>
  <c r="F269"/>
  <c r="F336"/>
  <c r="F300"/>
  <c r="F276"/>
  <c r="F331"/>
  <c r="F302"/>
  <c r="F308"/>
  <c r="F288"/>
  <c r="F296"/>
  <c r="F275"/>
  <c r="F309"/>
  <c r="F311"/>
  <c r="F346"/>
  <c r="F274"/>
  <c r="F340"/>
  <c r="F312"/>
  <c r="F303"/>
  <c r="F306"/>
  <c r="F320"/>
  <c r="F325"/>
  <c r="F318"/>
  <c r="F286"/>
  <c r="F327"/>
  <c r="F268"/>
  <c r="F299"/>
  <c r="F348"/>
  <c r="F322"/>
  <c r="F292"/>
  <c r="F324"/>
  <c r="F343"/>
  <c r="F313"/>
  <c r="F342"/>
  <c r="F335"/>
  <c r="F334"/>
  <c r="F319"/>
  <c r="F291"/>
  <c r="F341"/>
  <c r="F289"/>
  <c r="F297"/>
  <c r="F332"/>
  <c r="F261"/>
  <c r="F339"/>
  <c r="F273"/>
  <c r="F328"/>
  <c r="F293"/>
  <c r="F290"/>
  <c r="F333"/>
  <c r="F347"/>
  <c r="F279"/>
  <c r="F329"/>
  <c r="F338"/>
  <c r="F321"/>
  <c r="F267"/>
  <c r="F315"/>
  <c r="F287"/>
  <c r="F270"/>
  <c r="F301"/>
  <c r="F344"/>
  <c r="F265"/>
  <c r="F305"/>
  <c r="F310"/>
  <c r="F285"/>
  <c r="F294"/>
  <c r="F277"/>
  <c r="F281"/>
  <c r="F283"/>
  <c r="F304"/>
  <c r="F263"/>
  <c r="F266"/>
  <c r="F278"/>
  <c r="F272"/>
  <c r="F350"/>
  <c r="F295"/>
  <c r="F317"/>
  <c r="F337"/>
  <c r="F326"/>
  <c r="F345"/>
  <c r="F323"/>
  <c r="F330"/>
  <c r="F262"/>
  <c r="E415"/>
  <c r="N388" i="35"/>
  <c r="N385"/>
  <c r="M401"/>
  <c r="N407"/>
  <c r="M390"/>
  <c r="M387"/>
  <c r="N392"/>
  <c r="D308" i="38"/>
  <c r="D281"/>
  <c r="D413"/>
  <c r="E414"/>
  <c r="N383" i="35"/>
  <c r="M409"/>
  <c r="N403"/>
  <c r="N384"/>
  <c r="M389"/>
  <c r="M392"/>
  <c r="N408"/>
  <c r="N399"/>
  <c r="M400"/>
  <c r="D307" i="38"/>
  <c r="N389" i="35"/>
  <c r="D309" i="38"/>
  <c r="N404" i="35"/>
  <c r="D417" i="38"/>
  <c r="M402" i="35"/>
  <c r="N386"/>
  <c r="E418" i="38"/>
  <c r="E411"/>
  <c r="M410" i="35"/>
  <c r="E420" i="38"/>
  <c r="D412"/>
  <c r="M404" i="35"/>
  <c r="D415" i="38"/>
  <c r="E307"/>
  <c r="M397" i="35"/>
  <c r="N406"/>
  <c r="M385"/>
  <c r="N393"/>
  <c r="E419" i="38"/>
  <c r="M381" i="35"/>
  <c r="N397"/>
  <c r="D418" i="38"/>
  <c r="M395" i="35"/>
  <c r="M403"/>
  <c r="M399"/>
  <c r="M405"/>
  <c r="N391"/>
  <c r="M383"/>
  <c r="M406"/>
  <c r="M85" i="1"/>
  <c r="F66" i="38"/>
  <c r="M408" i="35"/>
  <c r="M382"/>
  <c r="N395"/>
  <c r="N400"/>
  <c r="D420" i="38"/>
  <c r="E417"/>
  <c r="N409" i="35"/>
  <c r="E413" i="38"/>
  <c r="D414"/>
  <c r="N410" i="35"/>
  <c r="M388"/>
  <c r="N394"/>
  <c r="D411" i="38"/>
  <c r="N382" i="35"/>
  <c r="M391"/>
  <c r="N398"/>
  <c r="M393"/>
  <c r="M407"/>
  <c r="N381"/>
  <c r="N390"/>
  <c r="D419" i="38"/>
  <c r="E412"/>
  <c r="E416"/>
  <c r="D282"/>
  <c r="M396" i="35"/>
  <c r="M386"/>
  <c r="M398"/>
  <c r="N402"/>
  <c r="M384"/>
  <c r="E282" i="38"/>
  <c r="N396" i="35"/>
  <c r="N401"/>
  <c r="D416" i="38"/>
  <c r="N405" i="35"/>
  <c r="M394"/>
  <c r="N387"/>
  <c r="E308" i="38"/>
  <c r="C12" i="2"/>
  <c r="C13" i="1"/>
  <c r="D13" i="10"/>
  <c r="C13" i="8"/>
  <c r="C13" i="14"/>
  <c r="C13" i="2"/>
  <c r="Y5" i="32"/>
  <c r="C13" i="36"/>
  <c r="F456" i="34"/>
  <c r="D53" i="10"/>
  <c r="G54" i="31"/>
  <c r="C16" i="36"/>
  <c r="G55" i="31"/>
  <c r="C16" i="8"/>
  <c r="C12" i="1"/>
  <c r="C12" i="36"/>
  <c r="C12" i="8"/>
  <c r="C12" i="14"/>
  <c r="J93"/>
  <c r="K91" i="8"/>
  <c r="C16" i="2"/>
  <c r="G53" i="31"/>
  <c r="C16" i="1"/>
  <c r="I440" i="34"/>
  <c r="M21" i="1"/>
  <c r="L86"/>
  <c r="C48" i="11"/>
  <c r="AB64" i="32"/>
  <c r="E426" i="35"/>
  <c r="E430"/>
  <c r="E434"/>
  <c r="E438"/>
  <c r="E442"/>
  <c r="E416"/>
  <c r="E420"/>
  <c r="E414"/>
  <c r="E408"/>
  <c r="E400"/>
  <c r="E404"/>
  <c r="E384"/>
  <c r="E388"/>
  <c r="E392"/>
  <c r="E396"/>
  <c r="E425"/>
  <c r="E433"/>
  <c r="E441"/>
  <c r="E419"/>
  <c r="E413"/>
  <c r="E399"/>
  <c r="E407"/>
  <c r="E383"/>
  <c r="E391"/>
  <c r="E423"/>
  <c r="E427"/>
  <c r="E431"/>
  <c r="E435"/>
  <c r="E439"/>
  <c r="E443"/>
  <c r="E417"/>
  <c r="E421"/>
  <c r="E415"/>
  <c r="E411"/>
  <c r="E409"/>
  <c r="E401"/>
  <c r="E405"/>
  <c r="E381"/>
  <c r="E385"/>
  <c r="E389"/>
  <c r="E393"/>
  <c r="E397"/>
  <c r="E424"/>
  <c r="E428"/>
  <c r="E432"/>
  <c r="E436"/>
  <c r="E440"/>
  <c r="E444"/>
  <c r="E418"/>
  <c r="E422"/>
  <c r="E412"/>
  <c r="E410"/>
  <c r="E402"/>
  <c r="E406"/>
  <c r="E382"/>
  <c r="E386"/>
  <c r="E390"/>
  <c r="E394"/>
  <c r="E398"/>
  <c r="E429"/>
  <c r="E437"/>
  <c r="E403"/>
  <c r="E387"/>
  <c r="E395"/>
  <c r="C424"/>
  <c r="C428"/>
  <c r="C432"/>
  <c r="C436"/>
  <c r="C440"/>
  <c r="C444"/>
  <c r="C418"/>
  <c r="C422"/>
  <c r="C412"/>
  <c r="C410"/>
  <c r="C402"/>
  <c r="C406"/>
  <c r="C384"/>
  <c r="C388"/>
  <c r="C392"/>
  <c r="C396"/>
  <c r="C425"/>
  <c r="C429"/>
  <c r="C433"/>
  <c r="C437"/>
  <c r="C441"/>
  <c r="C419"/>
  <c r="C413"/>
  <c r="C411"/>
  <c r="C399"/>
  <c r="C403"/>
  <c r="C407"/>
  <c r="C381"/>
  <c r="C385"/>
  <c r="C389"/>
  <c r="C393"/>
  <c r="C397"/>
  <c r="C426"/>
  <c r="C430"/>
  <c r="C434"/>
  <c r="C438"/>
  <c r="C442"/>
  <c r="C416"/>
  <c r="C420"/>
  <c r="C414"/>
  <c r="C408"/>
  <c r="C400"/>
  <c r="C404"/>
  <c r="C382"/>
  <c r="C386"/>
  <c r="C390"/>
  <c r="C394"/>
  <c r="C398"/>
  <c r="C423"/>
  <c r="C427"/>
  <c r="C431"/>
  <c r="C435"/>
  <c r="C439"/>
  <c r="C443"/>
  <c r="C417"/>
  <c r="C421"/>
  <c r="C415"/>
  <c r="C409"/>
  <c r="C401"/>
  <c r="C405"/>
  <c r="C383"/>
  <c r="C387"/>
  <c r="C391"/>
  <c r="C395"/>
  <c r="Y3" i="33"/>
  <c r="I456" i="34"/>
  <c r="D33" i="37"/>
  <c r="D32"/>
  <c r="D28"/>
  <c r="D31"/>
  <c r="D27"/>
  <c r="E68" i="35"/>
  <c r="D29" i="37"/>
  <c r="D34"/>
  <c r="D25"/>
  <c r="D30"/>
  <c r="D26"/>
  <c r="I33"/>
  <c r="I32"/>
  <c r="I28"/>
  <c r="I31"/>
  <c r="I27"/>
  <c r="C68" i="35"/>
  <c r="I34" i="37"/>
  <c r="I25"/>
  <c r="I30"/>
  <c r="I29"/>
  <c r="I26"/>
  <c r="D49" i="11"/>
  <c r="D46"/>
  <c r="C272" i="35"/>
  <c r="D22" i="1"/>
  <c r="D21"/>
  <c r="I35" i="37"/>
  <c r="C331" i="35"/>
  <c r="C99"/>
  <c r="C348"/>
  <c r="C268"/>
  <c r="C326"/>
  <c r="C339"/>
  <c r="C323"/>
  <c r="C262"/>
  <c r="C125"/>
  <c r="C44"/>
  <c r="C340"/>
  <c r="C102"/>
  <c r="C191"/>
  <c r="C147"/>
  <c r="C172"/>
  <c r="C372"/>
  <c r="C344"/>
  <c r="C194"/>
  <c r="C33"/>
  <c r="C142"/>
  <c r="C283"/>
  <c r="C223"/>
  <c r="C375"/>
  <c r="C73"/>
  <c r="C132"/>
  <c r="C173"/>
  <c r="C358"/>
  <c r="C53"/>
  <c r="C13"/>
  <c r="I9" i="37"/>
  <c r="C307" i="35"/>
  <c r="C354"/>
  <c r="C107"/>
  <c r="C154"/>
  <c r="C179"/>
  <c r="C327"/>
  <c r="C295"/>
  <c r="C124"/>
  <c r="C118"/>
  <c r="C341"/>
  <c r="C366"/>
  <c r="I22" i="37"/>
  <c r="C55" i="35"/>
  <c r="C182"/>
  <c r="C46"/>
  <c r="C309"/>
  <c r="C130"/>
  <c r="C274"/>
  <c r="C138"/>
  <c r="C228"/>
  <c r="C87"/>
  <c r="C167"/>
  <c r="C199"/>
  <c r="C233"/>
  <c r="C160"/>
  <c r="C312"/>
  <c r="C252"/>
  <c r="C260"/>
  <c r="I15" i="37"/>
  <c r="C204" i="35"/>
  <c r="C365"/>
  <c r="C253"/>
  <c r="C297"/>
  <c r="C287"/>
  <c r="C94"/>
  <c r="C116"/>
  <c r="C214"/>
  <c r="C36"/>
  <c r="C70"/>
  <c r="C251"/>
  <c r="C133"/>
  <c r="C355"/>
  <c r="C343"/>
  <c r="C89"/>
  <c r="C27"/>
  <c r="C100"/>
  <c r="C205"/>
  <c r="C25"/>
  <c r="C226"/>
  <c r="C76"/>
  <c r="C270"/>
  <c r="C66"/>
  <c r="C195"/>
  <c r="C247"/>
  <c r="C190"/>
  <c r="C377"/>
  <c r="C378"/>
  <c r="C368"/>
  <c r="C371"/>
  <c r="C379"/>
  <c r="C85"/>
  <c r="C286"/>
  <c r="I3" i="37"/>
  <c r="C249" i="35"/>
  <c r="C178"/>
  <c r="C329"/>
  <c r="C121"/>
  <c r="C186"/>
  <c r="C127"/>
  <c r="C279"/>
  <c r="C345"/>
  <c r="C10"/>
  <c r="C291"/>
  <c r="C34"/>
  <c r="C210"/>
  <c r="C328"/>
  <c r="C18"/>
  <c r="C197"/>
  <c r="C8"/>
  <c r="C42"/>
  <c r="C330"/>
  <c r="C267"/>
  <c r="C177"/>
  <c r="C189"/>
  <c r="C288"/>
  <c r="C333"/>
  <c r="C278"/>
  <c r="C22"/>
  <c r="C284"/>
  <c r="C181"/>
  <c r="C153"/>
  <c r="C208"/>
  <c r="C115"/>
  <c r="C69"/>
  <c r="I2" i="37"/>
  <c r="C95" i="35"/>
  <c r="C103"/>
  <c r="C280"/>
  <c r="C246"/>
  <c r="I12" i="37"/>
  <c r="C151" i="35"/>
  <c r="C230"/>
  <c r="C14"/>
  <c r="C146"/>
  <c r="C77"/>
  <c r="I8" i="37"/>
  <c r="C41" i="35"/>
  <c r="C239"/>
  <c r="C15"/>
  <c r="C203"/>
  <c r="I14" i="37"/>
  <c r="C359" i="35"/>
  <c r="C40"/>
  <c r="C28"/>
  <c r="C188"/>
  <c r="C21"/>
  <c r="C224"/>
  <c r="C261"/>
  <c r="C7"/>
  <c r="C298"/>
  <c r="C38"/>
  <c r="I19" i="37"/>
  <c r="C324" i="35"/>
  <c r="I7" i="37"/>
  <c r="I4"/>
  <c r="C129" i="35"/>
  <c r="C250"/>
  <c r="C374"/>
  <c r="C373"/>
  <c r="C364"/>
  <c r="C367"/>
  <c r="I21" i="37"/>
  <c r="C285" i="35"/>
  <c r="C86"/>
  <c r="C88"/>
  <c r="C321"/>
  <c r="C80"/>
  <c r="C51"/>
  <c r="C305"/>
  <c r="C9"/>
  <c r="C165"/>
  <c r="C202"/>
  <c r="C122"/>
  <c r="C56"/>
  <c r="C238"/>
  <c r="C276"/>
  <c r="C58"/>
  <c r="C258"/>
  <c r="C162"/>
  <c r="C164"/>
  <c r="C304"/>
  <c r="C152"/>
  <c r="C244"/>
  <c r="C11"/>
  <c r="C234"/>
  <c r="C187"/>
  <c r="C144"/>
  <c r="C221"/>
  <c r="C159"/>
  <c r="C72"/>
  <c r="C98"/>
  <c r="C320"/>
  <c r="C101"/>
  <c r="C30"/>
  <c r="C4"/>
  <c r="C20"/>
  <c r="C92"/>
  <c r="C48"/>
  <c r="C175"/>
  <c r="C265"/>
  <c r="C277"/>
  <c r="C12"/>
  <c r="C259"/>
  <c r="I20" i="37"/>
  <c r="C16" i="35"/>
  <c r="C332"/>
  <c r="C303"/>
  <c r="C322"/>
  <c r="C6"/>
  <c r="I10" i="37"/>
  <c r="C240" i="35"/>
  <c r="C81"/>
  <c r="C140"/>
  <c r="C65"/>
  <c r="C71"/>
  <c r="C347"/>
  <c r="C64"/>
  <c r="C24"/>
  <c r="C206"/>
  <c r="I16" i="37"/>
  <c r="C219" i="35"/>
  <c r="C174"/>
  <c r="C257"/>
  <c r="C79"/>
  <c r="C54"/>
  <c r="C207"/>
  <c r="C292"/>
  <c r="C362"/>
  <c r="C91"/>
  <c r="C222"/>
  <c r="C5"/>
  <c r="C141"/>
  <c r="C217"/>
  <c r="C185"/>
  <c r="C170"/>
  <c r="C192"/>
  <c r="C311"/>
  <c r="C158"/>
  <c r="C220"/>
  <c r="C273"/>
  <c r="C213"/>
  <c r="C370"/>
  <c r="C369"/>
  <c r="C376"/>
  <c r="I23" i="37"/>
  <c r="C380" i="35"/>
  <c r="C49"/>
  <c r="C180"/>
  <c r="C29"/>
  <c r="C301"/>
  <c r="C269"/>
  <c r="C316"/>
  <c r="C215"/>
  <c r="C183"/>
  <c r="C237"/>
  <c r="C139"/>
  <c r="C302"/>
  <c r="C275"/>
  <c r="C198"/>
  <c r="C176"/>
  <c r="C32"/>
  <c r="C356"/>
  <c r="C263"/>
  <c r="C17"/>
  <c r="C254"/>
  <c r="I6" i="37"/>
  <c r="C293" i="35"/>
  <c r="C266"/>
  <c r="C111"/>
  <c r="C104"/>
  <c r="C149"/>
  <c r="C45"/>
  <c r="C318"/>
  <c r="C200"/>
  <c r="C75"/>
  <c r="C82"/>
  <c r="C120"/>
  <c r="C114"/>
  <c r="C119"/>
  <c r="C342"/>
  <c r="C112"/>
  <c r="C126"/>
  <c r="C308"/>
  <c r="C60"/>
  <c r="I5" i="37"/>
  <c r="C350" i="35"/>
  <c r="C117"/>
  <c r="C135"/>
  <c r="C78"/>
  <c r="C93"/>
  <c r="C163"/>
  <c r="C290"/>
  <c r="J1" i="33"/>
  <c r="C3" i="35"/>
  <c r="C83"/>
  <c r="C294"/>
  <c r="C271"/>
  <c r="C155"/>
  <c r="C245"/>
  <c r="C131"/>
  <c r="C47"/>
  <c r="C334"/>
  <c r="I11" i="37"/>
  <c r="C289" i="35"/>
  <c r="C361"/>
  <c r="C26"/>
  <c r="C128"/>
  <c r="C43"/>
  <c r="C2"/>
  <c r="I18" i="37"/>
  <c r="C35" i="35"/>
  <c r="C357"/>
  <c r="C105"/>
  <c r="C150"/>
  <c r="C201"/>
  <c r="C171"/>
  <c r="C317"/>
  <c r="C299"/>
  <c r="C50"/>
  <c r="I17" i="37"/>
  <c r="C212" i="35"/>
  <c r="C338"/>
  <c r="C229"/>
  <c r="C39"/>
  <c r="C19"/>
  <c r="C255"/>
  <c r="C63"/>
  <c r="C52"/>
  <c r="C59"/>
  <c r="C313"/>
  <c r="C109"/>
  <c r="C31"/>
  <c r="C67"/>
  <c r="C231"/>
  <c r="C169"/>
  <c r="C281"/>
  <c r="C248"/>
  <c r="C319"/>
  <c r="C315"/>
  <c r="C264"/>
  <c r="C161"/>
  <c r="C232"/>
  <c r="I13" i="37"/>
  <c r="C61" i="35"/>
  <c r="C243"/>
  <c r="C325"/>
  <c r="C148"/>
  <c r="C235"/>
  <c r="C96"/>
  <c r="C134"/>
  <c r="C193"/>
  <c r="C136"/>
  <c r="C363"/>
  <c r="C196"/>
  <c r="C306"/>
  <c r="C296"/>
  <c r="C227"/>
  <c r="C110"/>
  <c r="C349"/>
  <c r="C106"/>
  <c r="C352"/>
  <c r="C300"/>
  <c r="C84"/>
  <c r="C256"/>
  <c r="C113"/>
  <c r="C360"/>
  <c r="C7" i="14"/>
  <c r="C7" i="2"/>
  <c r="D7" i="10"/>
  <c r="C7" i="8"/>
  <c r="D148" i="2"/>
  <c r="D92" i="8"/>
  <c r="E57" i="10"/>
  <c r="D94" i="14"/>
  <c r="D45" i="36"/>
  <c r="P7" i="10"/>
  <c r="L7" i="8"/>
  <c r="K7" i="14"/>
  <c r="L7" i="36"/>
  <c r="L7" i="2"/>
  <c r="I24" i="37"/>
  <c r="L9" i="2"/>
  <c r="Q9" i="10"/>
  <c r="L9" i="8"/>
  <c r="K9" i="14"/>
  <c r="L9" i="36"/>
  <c r="O56" i="10"/>
  <c r="J44" i="36"/>
  <c r="C10" i="14"/>
  <c r="C10" i="2"/>
  <c r="C10" i="36"/>
  <c r="C10" i="8"/>
  <c r="D10" i="10"/>
  <c r="D146" i="2"/>
  <c r="D43" i="36"/>
  <c r="D90" i="8"/>
  <c r="D8"/>
  <c r="D8" i="36"/>
  <c r="E8" i="10"/>
  <c r="D8" i="14"/>
  <c r="D8" i="2"/>
  <c r="C57" i="35"/>
  <c r="C123"/>
  <c r="C145"/>
  <c r="C137"/>
  <c r="C184"/>
  <c r="C143"/>
  <c r="C90"/>
  <c r="C37"/>
  <c r="C236"/>
  <c r="C225"/>
  <c r="C209"/>
  <c r="C346"/>
  <c r="C241"/>
  <c r="C282"/>
  <c r="C310"/>
  <c r="C157"/>
  <c r="C218"/>
  <c r="C351"/>
  <c r="C23"/>
  <c r="C97"/>
  <c r="C242"/>
  <c r="C108"/>
  <c r="C314"/>
  <c r="C74"/>
  <c r="C166"/>
  <c r="C211"/>
  <c r="C62"/>
  <c r="C353"/>
  <c r="C216"/>
  <c r="C156"/>
  <c r="C337"/>
  <c r="C168"/>
  <c r="C336"/>
  <c r="C335"/>
  <c r="E248"/>
  <c r="E217"/>
  <c r="E159"/>
  <c r="Z5" i="32"/>
  <c r="M52" i="1"/>
  <c r="F428" i="34"/>
  <c r="F424"/>
  <c r="E224" i="35"/>
  <c r="D35" i="37"/>
  <c r="D24"/>
  <c r="D8" i="1"/>
  <c r="E42" i="35"/>
  <c r="E137"/>
  <c r="E28"/>
  <c r="E125"/>
  <c r="E228"/>
  <c r="D17" i="37"/>
  <c r="E300" i="35"/>
  <c r="D6" i="37"/>
  <c r="C49" i="11"/>
  <c r="M83" i="1"/>
  <c r="E215" i="35"/>
  <c r="E341"/>
  <c r="E45"/>
  <c r="E166"/>
  <c r="E93"/>
  <c r="E69"/>
  <c r="E154"/>
  <c r="E66"/>
  <c r="E50"/>
  <c r="E256"/>
  <c r="E186"/>
  <c r="E23"/>
  <c r="E187"/>
  <c r="E237"/>
  <c r="E195"/>
  <c r="E323"/>
  <c r="E208"/>
  <c r="E304"/>
  <c r="E17"/>
  <c r="E259"/>
  <c r="E233"/>
  <c r="E90"/>
  <c r="E109"/>
  <c r="E298"/>
  <c r="E247"/>
  <c r="E336"/>
  <c r="E205"/>
  <c r="E99"/>
  <c r="E324"/>
  <c r="L9" i="1"/>
  <c r="E19" i="35"/>
  <c r="E235"/>
  <c r="E98"/>
  <c r="E82"/>
  <c r="E182"/>
  <c r="E350"/>
  <c r="E225"/>
  <c r="D13" i="37"/>
  <c r="E22" i="35"/>
  <c r="E355"/>
  <c r="E271"/>
  <c r="E283"/>
  <c r="E172"/>
  <c r="E250"/>
  <c r="E268"/>
  <c r="E332"/>
  <c r="E107"/>
  <c r="E58"/>
  <c r="E128"/>
  <c r="E11"/>
  <c r="E16"/>
  <c r="E243"/>
  <c r="E43"/>
  <c r="E173"/>
  <c r="E114"/>
  <c r="E343"/>
  <c r="E314"/>
  <c r="E282"/>
  <c r="D12" i="37"/>
  <c r="E130" i="35"/>
  <c r="E347"/>
  <c r="E239"/>
  <c r="E76"/>
  <c r="E81"/>
  <c r="E328"/>
  <c r="E293"/>
  <c r="D8" i="37"/>
  <c r="E242" i="35"/>
  <c r="E303"/>
  <c r="E198"/>
  <c r="E246"/>
  <c r="E136"/>
  <c r="E274"/>
  <c r="E129"/>
  <c r="E223"/>
  <c r="E330"/>
  <c r="D5" i="37"/>
  <c r="E272" i="35"/>
  <c r="E315"/>
  <c r="E344"/>
  <c r="E216"/>
  <c r="E288"/>
  <c r="E185"/>
  <c r="E167"/>
  <c r="E31"/>
  <c r="E179"/>
  <c r="E188"/>
  <c r="E25"/>
  <c r="E59"/>
  <c r="D20" i="37"/>
  <c r="E8" i="35"/>
  <c r="E144"/>
  <c r="E253"/>
  <c r="E5"/>
  <c r="E24"/>
  <c r="E204"/>
  <c r="E49"/>
  <c r="E117"/>
  <c r="E92"/>
  <c r="E110"/>
  <c r="E326"/>
  <c r="E158"/>
  <c r="E220"/>
  <c r="E273"/>
  <c r="D9" i="37"/>
  <c r="E80" i="35"/>
  <c r="E120"/>
  <c r="E155"/>
  <c r="E199"/>
  <c r="D7" i="37"/>
  <c r="E196" i="35"/>
  <c r="E226"/>
  <c r="D14" i="37"/>
  <c r="E292" i="35"/>
  <c r="E192"/>
  <c r="E146"/>
  <c r="E124"/>
  <c r="E200"/>
  <c r="E72"/>
  <c r="E193"/>
  <c r="E270"/>
  <c r="E118"/>
  <c r="E61"/>
  <c r="E127"/>
  <c r="D4" i="37"/>
  <c r="E362" i="35"/>
  <c r="E56"/>
  <c r="E73"/>
  <c r="E101"/>
  <c r="F438" i="34"/>
  <c r="F444"/>
  <c r="E86" i="35"/>
  <c r="E134"/>
  <c r="E63"/>
  <c r="E276"/>
  <c r="E119"/>
  <c r="E168"/>
  <c r="E265"/>
  <c r="E206"/>
  <c r="E313"/>
  <c r="E103"/>
  <c r="E334"/>
  <c r="E306"/>
  <c r="D21" i="37"/>
  <c r="E370" i="35"/>
  <c r="D22" i="37"/>
  <c r="E378" i="35"/>
  <c r="E367"/>
  <c r="E371"/>
  <c r="E375"/>
  <c r="D23" i="37"/>
  <c r="E379" i="35"/>
  <c r="E364"/>
  <c r="E368"/>
  <c r="E372"/>
  <c r="E376"/>
  <c r="E380"/>
  <c r="E365"/>
  <c r="E369"/>
  <c r="E373"/>
  <c r="E377"/>
  <c r="E366"/>
  <c r="E374"/>
  <c r="E234"/>
  <c r="N7" i="1"/>
  <c r="E140" i="35"/>
  <c r="E291"/>
  <c r="D20" i="10"/>
  <c r="E191" i="35"/>
  <c r="E275"/>
  <c r="E337"/>
  <c r="E84"/>
  <c r="E245"/>
  <c r="E308"/>
  <c r="E143"/>
  <c r="E54"/>
  <c r="E96"/>
  <c r="E97"/>
  <c r="E4"/>
  <c r="D18" i="37"/>
  <c r="E241" i="35"/>
  <c r="E354"/>
  <c r="E266"/>
  <c r="E278"/>
  <c r="E149"/>
  <c r="E327"/>
  <c r="E67"/>
  <c r="E71"/>
  <c r="E230"/>
  <c r="E170"/>
  <c r="E74"/>
  <c r="E301"/>
  <c r="E183"/>
  <c r="E78"/>
  <c r="E163"/>
  <c r="E290"/>
  <c r="E194"/>
  <c r="E169"/>
  <c r="E14"/>
  <c r="E255"/>
  <c r="E113"/>
  <c r="E65"/>
  <c r="E151"/>
  <c r="E123"/>
  <c r="E351"/>
  <c r="E44"/>
  <c r="E311"/>
  <c r="E171"/>
  <c r="D2" i="37"/>
  <c r="E47" i="35"/>
  <c r="E331"/>
  <c r="E162"/>
  <c r="E353"/>
  <c r="D16" i="37"/>
  <c r="E184" i="35"/>
  <c r="E52"/>
  <c r="E32"/>
  <c r="E89"/>
  <c r="E77"/>
  <c r="E345"/>
  <c r="D10" i="37"/>
  <c r="E358" i="35"/>
  <c r="E348"/>
  <c r="E83"/>
  <c r="E352"/>
  <c r="E29"/>
  <c r="E346"/>
  <c r="E289"/>
  <c r="E36"/>
  <c r="E267"/>
  <c r="E316"/>
  <c r="E262"/>
  <c r="E121"/>
  <c r="E295"/>
  <c r="E285"/>
  <c r="E260"/>
  <c r="E64"/>
  <c r="E240"/>
  <c r="E177"/>
  <c r="E33"/>
  <c r="E106"/>
  <c r="E175"/>
  <c r="E160"/>
  <c r="E277"/>
  <c r="D3" i="37"/>
  <c r="E94" i="35"/>
  <c r="E333"/>
  <c r="E279"/>
  <c r="E319"/>
  <c r="E335"/>
  <c r="E41"/>
  <c r="E359"/>
  <c r="E280"/>
  <c r="E322"/>
  <c r="E257"/>
  <c r="E357"/>
  <c r="E51"/>
  <c r="E122"/>
  <c r="E46"/>
  <c r="E91"/>
  <c r="E310"/>
  <c r="E39"/>
  <c r="E2"/>
  <c r="E102"/>
  <c r="E48"/>
  <c r="E156"/>
  <c r="D11" i="37"/>
  <c r="E145" i="35"/>
  <c r="E174"/>
  <c r="E34"/>
  <c r="E210"/>
  <c r="E296"/>
  <c r="E338"/>
  <c r="E37"/>
  <c r="E287"/>
  <c r="E40"/>
  <c r="E281"/>
  <c r="E286"/>
  <c r="E141"/>
  <c r="E356"/>
  <c r="E27"/>
  <c r="E213"/>
  <c r="E105"/>
  <c r="E152"/>
  <c r="E176"/>
  <c r="E138"/>
  <c r="E317"/>
  <c r="E249"/>
  <c r="E214"/>
  <c r="D15" i="37"/>
  <c r="E62" i="35"/>
  <c r="E21"/>
  <c r="E18"/>
  <c r="E207"/>
  <c r="E104"/>
  <c r="E264"/>
  <c r="E35"/>
  <c r="E53"/>
  <c r="E361"/>
  <c r="E111"/>
  <c r="E231"/>
  <c r="E116"/>
  <c r="E20"/>
  <c r="E100"/>
  <c r="E261"/>
  <c r="E3"/>
  <c r="E229"/>
  <c r="E320"/>
  <c r="E329"/>
  <c r="E165"/>
  <c r="E221"/>
  <c r="E189"/>
  <c r="E305"/>
  <c r="E161"/>
  <c r="E7"/>
  <c r="E302"/>
  <c r="E325"/>
  <c r="E263"/>
  <c r="E181"/>
  <c r="E26"/>
  <c r="E38"/>
  <c r="E13"/>
  <c r="E307"/>
  <c r="E318"/>
  <c r="D19" i="37"/>
  <c r="E363" i="35"/>
  <c r="E360"/>
  <c r="E222"/>
  <c r="E85"/>
  <c r="E131"/>
  <c r="E203"/>
  <c r="E75"/>
  <c r="E10"/>
  <c r="E244"/>
  <c r="E180"/>
  <c r="E148"/>
  <c r="E258"/>
  <c r="E132"/>
  <c r="E135"/>
  <c r="E297"/>
  <c r="E55"/>
  <c r="E9"/>
  <c r="E190"/>
  <c r="E349"/>
  <c r="E211"/>
  <c r="E79"/>
  <c r="E269"/>
  <c r="E284"/>
  <c r="E95"/>
  <c r="E60"/>
  <c r="E197"/>
  <c r="E157"/>
  <c r="E294"/>
  <c r="E299"/>
  <c r="E312"/>
  <c r="E321"/>
  <c r="E212"/>
  <c r="E227"/>
  <c r="E126"/>
  <c r="E147"/>
  <c r="E340"/>
  <c r="E133"/>
  <c r="E57"/>
  <c r="E87"/>
  <c r="E219"/>
  <c r="E178"/>
  <c r="E115"/>
  <c r="E108"/>
  <c r="E252"/>
  <c r="E251"/>
  <c r="E153"/>
  <c r="E30"/>
  <c r="E15"/>
  <c r="E202"/>
  <c r="E70"/>
  <c r="E88"/>
  <c r="E201"/>
  <c r="E112"/>
  <c r="E139"/>
  <c r="E236"/>
  <c r="E12"/>
  <c r="E218"/>
  <c r="E232"/>
  <c r="E254"/>
  <c r="E150"/>
  <c r="E209"/>
  <c r="E6"/>
  <c r="E339"/>
  <c r="E238"/>
  <c r="E142"/>
  <c r="E164"/>
  <c r="E309"/>
  <c r="E342"/>
  <c r="C10" i="1"/>
  <c r="D23" i="10"/>
  <c r="D27"/>
  <c r="C7" i="1"/>
  <c r="J147" i="2"/>
  <c r="D48" i="11"/>
  <c r="M86" i="1"/>
  <c r="D30" i="10"/>
  <c r="D37"/>
  <c r="D21"/>
  <c r="D26"/>
  <c r="D40"/>
  <c r="D45" i="11"/>
  <c r="D22" i="10"/>
  <c r="D35"/>
  <c r="D25"/>
  <c r="D28"/>
  <c r="D38"/>
  <c r="D39"/>
  <c r="D24"/>
  <c r="D33"/>
  <c r="D41"/>
  <c r="D34"/>
  <c r="D36"/>
  <c r="D31"/>
  <c r="D32"/>
  <c r="M87" i="1"/>
  <c r="C46" i="11"/>
  <c r="C45"/>
  <c r="Q25" i="10"/>
  <c r="O31"/>
  <c r="O34"/>
  <c r="Q31"/>
  <c r="Q34"/>
  <c r="Q37"/>
  <c r="Q41"/>
  <c r="O41"/>
  <c r="O53"/>
  <c r="C51" i="11"/>
  <c r="K39" i="2"/>
  <c r="K70"/>
  <c r="K57"/>
  <c r="K137"/>
  <c r="K127"/>
  <c r="K69"/>
  <c r="K128"/>
  <c r="K58"/>
  <c r="K136"/>
  <c r="K126"/>
  <c r="D47" i="11"/>
  <c r="C47"/>
  <c r="F205" i="38"/>
  <c r="F135"/>
  <c r="F235"/>
  <c r="H35"/>
  <c r="F248"/>
  <c r="H25"/>
  <c r="F207"/>
  <c r="F167"/>
  <c r="F225"/>
  <c r="F211"/>
  <c r="F107"/>
  <c r="F224"/>
  <c r="F103"/>
  <c r="F187"/>
  <c r="F200"/>
  <c r="F128"/>
  <c r="F133"/>
  <c r="F260"/>
  <c r="F182"/>
  <c r="F237"/>
  <c r="H28"/>
  <c r="F183"/>
  <c r="F147"/>
  <c r="F124"/>
  <c r="F138"/>
  <c r="F223"/>
  <c r="F236"/>
  <c r="F228"/>
  <c r="F139"/>
  <c r="H47"/>
  <c r="F201"/>
  <c r="F132"/>
  <c r="F220"/>
  <c r="F140"/>
  <c r="F151"/>
  <c r="F88"/>
  <c r="F170"/>
  <c r="F131"/>
  <c r="F152"/>
  <c r="H54"/>
  <c r="F230"/>
  <c r="F81"/>
  <c r="F156"/>
  <c r="F234"/>
  <c r="F143"/>
  <c r="F229"/>
  <c r="F116"/>
  <c r="H5"/>
  <c r="F78"/>
  <c r="F96"/>
  <c r="F214"/>
  <c r="H4"/>
  <c r="F141"/>
  <c r="F161"/>
  <c r="F203"/>
  <c r="H45"/>
  <c r="F83"/>
  <c r="H19"/>
  <c r="F168"/>
  <c r="F178"/>
  <c r="F125"/>
  <c r="F190"/>
  <c r="F112"/>
  <c r="F117"/>
  <c r="F94"/>
  <c r="F219"/>
  <c r="F252"/>
  <c r="H55"/>
  <c r="F91"/>
  <c r="H31"/>
  <c r="H52"/>
  <c r="H27"/>
  <c r="F148"/>
  <c r="F181"/>
  <c r="F217"/>
  <c r="H37"/>
  <c r="F159"/>
  <c r="H2"/>
  <c r="F185"/>
  <c r="H3"/>
  <c r="F177"/>
  <c r="F198"/>
  <c r="F199"/>
  <c r="H12"/>
  <c r="F166"/>
  <c r="H11"/>
  <c r="F188"/>
  <c r="F197"/>
  <c r="F71"/>
  <c r="H61"/>
  <c r="H15"/>
  <c r="F134"/>
  <c r="F146"/>
  <c r="F145"/>
  <c r="F245"/>
  <c r="F118"/>
  <c r="F210"/>
  <c r="F238"/>
  <c r="H48"/>
  <c r="F104"/>
  <c r="F162"/>
  <c r="H41"/>
  <c r="F189"/>
  <c r="F111"/>
  <c r="F109"/>
  <c r="F142"/>
  <c r="F126"/>
  <c r="F130"/>
  <c r="F98"/>
  <c r="F101"/>
  <c r="F191"/>
  <c r="F76"/>
  <c r="F136"/>
  <c r="F202"/>
  <c r="F195"/>
  <c r="F186"/>
  <c r="H10"/>
  <c r="H7"/>
  <c r="F99"/>
  <c r="F153"/>
  <c r="H59"/>
  <c r="F97"/>
  <c r="F85"/>
  <c r="F82"/>
  <c r="F95"/>
  <c r="F122"/>
  <c r="F213"/>
  <c r="F215"/>
  <c r="F259"/>
  <c r="H53"/>
  <c r="F157"/>
  <c r="F90"/>
  <c r="F110"/>
  <c r="F208"/>
  <c r="H17"/>
  <c r="H22"/>
  <c r="H33"/>
  <c r="H20"/>
  <c r="F173"/>
  <c r="H21"/>
  <c r="H18"/>
  <c r="F257"/>
  <c r="F192"/>
  <c r="F92"/>
  <c r="F113"/>
  <c r="H30"/>
  <c r="F216"/>
  <c r="F120"/>
  <c r="F249"/>
  <c r="F232"/>
  <c r="F246"/>
  <c r="H40"/>
  <c r="F121"/>
  <c r="H46"/>
  <c r="F86"/>
  <c r="F247"/>
  <c r="H57"/>
  <c r="H9"/>
  <c r="F231"/>
  <c r="H68"/>
  <c r="H67"/>
  <c r="F206"/>
  <c r="F149"/>
  <c r="F114"/>
  <c r="F175"/>
  <c r="F87"/>
  <c r="F123"/>
  <c r="F150"/>
  <c r="F172"/>
  <c r="F93"/>
  <c r="F222"/>
  <c r="F105"/>
  <c r="H43"/>
  <c r="F227"/>
  <c r="F171"/>
  <c r="F72"/>
  <c r="H29"/>
  <c r="F155"/>
  <c r="F160"/>
  <c r="F196"/>
  <c r="F241"/>
  <c r="F221"/>
  <c r="F74"/>
  <c r="F119"/>
  <c r="H14"/>
  <c r="F84"/>
  <c r="F176"/>
  <c r="H26"/>
  <c r="F79"/>
  <c r="F127"/>
  <c r="F180"/>
  <c r="F89"/>
  <c r="F77"/>
  <c r="H39"/>
  <c r="F115"/>
  <c r="H62"/>
  <c r="F240"/>
  <c r="F226"/>
  <c r="F106"/>
  <c r="F256"/>
  <c r="F100"/>
  <c r="F174"/>
  <c r="F233"/>
  <c r="F102"/>
  <c r="F253"/>
  <c r="H36"/>
  <c r="F169"/>
  <c r="H38"/>
  <c r="F244"/>
  <c r="H60"/>
  <c r="F251"/>
  <c r="H8"/>
  <c r="F258"/>
  <c r="F212"/>
  <c r="F70"/>
  <c r="H44"/>
  <c r="H63"/>
  <c r="F250"/>
  <c r="F193"/>
  <c r="H49"/>
  <c r="F254"/>
  <c r="F75"/>
  <c r="F179"/>
  <c r="F129"/>
  <c r="F239"/>
  <c r="F137"/>
  <c r="H56"/>
  <c r="F163"/>
  <c r="F80"/>
  <c r="F144"/>
  <c r="H34"/>
  <c r="F264"/>
  <c r="F108"/>
  <c r="F164"/>
  <c r="F158"/>
  <c r="F184"/>
  <c r="F280"/>
  <c r="F218"/>
  <c r="H23"/>
  <c r="H13"/>
  <c r="F154"/>
  <c r="F209"/>
  <c r="H64"/>
  <c r="H6"/>
  <c r="F165"/>
  <c r="H16"/>
  <c r="H50"/>
  <c r="F242"/>
  <c r="F73"/>
  <c r="F282"/>
  <c r="H32"/>
  <c r="H58"/>
  <c r="F204"/>
  <c r="F194"/>
  <c r="F255"/>
  <c r="H66"/>
  <c r="H51"/>
  <c r="F243"/>
  <c r="H42"/>
  <c r="H65"/>
  <c r="H24"/>
  <c r="D62"/>
  <c r="E430"/>
  <c r="D57"/>
  <c r="M84" i="35"/>
  <c r="E115" i="38"/>
  <c r="E85"/>
  <c r="E426"/>
  <c r="M49" i="35"/>
  <c r="H423" i="38"/>
  <c r="E381"/>
  <c r="J430"/>
  <c r="N204" i="35"/>
  <c r="E389" i="38"/>
  <c r="N254" i="35"/>
  <c r="N317"/>
  <c r="L116"/>
  <c r="M164"/>
  <c r="E445" i="38"/>
  <c r="E101"/>
  <c r="M200" i="35"/>
  <c r="N436"/>
  <c r="M81"/>
  <c r="I433" i="38"/>
  <c r="H442"/>
  <c r="N63" i="35"/>
  <c r="E106" i="38"/>
  <c r="N16" i="35"/>
  <c r="K47"/>
  <c r="Q3" i="37"/>
  <c r="M434" i="35"/>
  <c r="E187" i="38"/>
  <c r="E172"/>
  <c r="D248"/>
  <c r="E118"/>
  <c r="M23" i="37"/>
  <c r="D241" i="38"/>
  <c r="E201"/>
  <c r="D260"/>
  <c r="E133"/>
  <c r="D65"/>
  <c r="M369" i="35"/>
  <c r="N321"/>
  <c r="E291" i="38"/>
  <c r="L49" i="35"/>
  <c r="M138"/>
  <c r="E355" i="38"/>
  <c r="D278"/>
  <c r="M44" i="35"/>
  <c r="E221" i="38"/>
  <c r="D71"/>
  <c r="M357" i="35"/>
  <c r="E325" i="38"/>
  <c r="N34" i="35"/>
  <c r="M192"/>
  <c r="E81" i="38"/>
  <c r="H439"/>
  <c r="D139"/>
  <c r="M283" i="35"/>
  <c r="E58" i="38"/>
  <c r="F432"/>
  <c r="G8"/>
  <c r="D293"/>
  <c r="D69"/>
  <c r="F68"/>
  <c r="N426" i="35"/>
  <c r="H421" i="38"/>
  <c r="M6" i="37"/>
  <c r="N66" i="35"/>
  <c r="D185" i="38"/>
  <c r="K19" i="37"/>
  <c r="M45" i="35"/>
  <c r="N42"/>
  <c r="L424" i="38"/>
  <c r="M250" i="35"/>
  <c r="D122" i="38"/>
  <c r="F50"/>
  <c r="I444"/>
  <c r="D295"/>
  <c r="M277" i="35"/>
  <c r="N347"/>
  <c r="M365"/>
  <c r="E30" i="38"/>
  <c r="E264"/>
  <c r="N6" i="37"/>
  <c r="N15" i="35"/>
  <c r="D234" i="38"/>
  <c r="E90"/>
  <c r="L44" i="35"/>
  <c r="E136" i="38"/>
  <c r="E323"/>
  <c r="M259" i="35"/>
  <c r="D188" i="38"/>
  <c r="D61"/>
  <c r="F62"/>
  <c r="N160" i="35"/>
  <c r="N237"/>
  <c r="D150" i="38"/>
  <c r="D360"/>
  <c r="D430"/>
  <c r="M89" i="35"/>
  <c r="E86" i="38"/>
  <c r="M439"/>
  <c r="D163"/>
  <c r="G12"/>
  <c r="D445"/>
  <c r="N206" i="35"/>
  <c r="D404" i="38"/>
  <c r="E76"/>
  <c r="G15"/>
  <c r="M32" i="35"/>
  <c r="E306" i="38"/>
  <c r="O13" i="37"/>
  <c r="D398" i="38"/>
  <c r="E254"/>
  <c r="O17" i="37"/>
  <c r="N355" i="35"/>
  <c r="M364"/>
  <c r="M98"/>
  <c r="M412"/>
  <c r="F63" i="38"/>
  <c r="D194"/>
  <c r="E179"/>
  <c r="F44"/>
  <c r="L14" i="37"/>
  <c r="M245" i="35"/>
  <c r="E324" i="38"/>
  <c r="N185" i="35"/>
  <c r="L54"/>
  <c r="D81" i="38"/>
  <c r="E353"/>
  <c r="D160"/>
  <c r="F11"/>
  <c r="D40"/>
  <c r="N77" i="35"/>
  <c r="M12"/>
  <c r="E359" i="38"/>
  <c r="L437"/>
  <c r="D8"/>
  <c r="E206"/>
  <c r="M314" i="35"/>
  <c r="M172"/>
  <c r="N35" i="37"/>
  <c r="D401" i="38"/>
  <c r="G45"/>
  <c r="D18"/>
  <c r="L81" i="35"/>
  <c r="D267" i="38"/>
  <c r="M68" i="35"/>
  <c r="E393" i="38"/>
  <c r="N80" i="35"/>
  <c r="E166" i="38"/>
  <c r="D395"/>
  <c r="E292"/>
  <c r="E11"/>
  <c r="N263" i="35"/>
  <c r="M235"/>
  <c r="L125"/>
  <c r="M436" i="38"/>
  <c r="D142"/>
  <c r="P10" i="37"/>
  <c r="N320" i="35"/>
  <c r="J32" i="37"/>
  <c r="J23"/>
  <c r="M421" i="35"/>
  <c r="E401" i="38"/>
  <c r="D271"/>
  <c r="F20"/>
  <c r="D428"/>
  <c r="F433"/>
  <c r="M288" i="35"/>
  <c r="L35" i="37"/>
  <c r="M241" i="35"/>
  <c r="E438" i="38"/>
  <c r="S14" i="37"/>
  <c r="F426" i="38"/>
  <c r="E24"/>
  <c r="E239"/>
  <c r="D233"/>
  <c r="G436"/>
  <c r="L20" i="35"/>
  <c r="D167" i="38"/>
  <c r="J434"/>
  <c r="M111" i="35"/>
  <c r="E21" i="38"/>
  <c r="N10" i="35"/>
  <c r="N442"/>
  <c r="E279" i="38"/>
  <c r="N21" i="35"/>
  <c r="M55"/>
  <c r="L17" i="37"/>
  <c r="E209" i="38"/>
  <c r="D79"/>
  <c r="M233" i="35"/>
  <c r="E44" i="38"/>
  <c r="R35" i="37"/>
  <c r="D196" i="38"/>
  <c r="L100" i="35"/>
  <c r="E273" i="38"/>
  <c r="I426"/>
  <c r="N425" i="35"/>
  <c r="N113"/>
  <c r="M215"/>
  <c r="E215" i="38"/>
  <c r="D175"/>
  <c r="M226" i="35"/>
  <c r="E262" i="38"/>
  <c r="M261" i="35"/>
  <c r="N437"/>
  <c r="L70"/>
  <c r="M7"/>
  <c r="D76" i="38"/>
  <c r="M293" i="35"/>
  <c r="M422"/>
  <c r="H435" i="38"/>
  <c r="E93"/>
  <c r="E200"/>
  <c r="D206"/>
  <c r="E238"/>
  <c r="L2" i="35"/>
  <c r="E123" i="38"/>
  <c r="F26"/>
  <c r="M281" i="35"/>
  <c r="L24"/>
  <c r="K34"/>
  <c r="N414"/>
  <c r="E116" i="38"/>
  <c r="D287"/>
  <c r="D292"/>
  <c r="D276"/>
  <c r="N180" i="35"/>
  <c r="E423" i="38"/>
  <c r="D272"/>
  <c r="D405"/>
  <c r="D230"/>
  <c r="L7" i="35"/>
  <c r="E205" i="38"/>
  <c r="D199"/>
  <c r="E225"/>
  <c r="E369"/>
  <c r="N124" i="35"/>
  <c r="E245" i="38"/>
  <c r="N233" i="35"/>
  <c r="E387" i="38"/>
  <c r="F18"/>
  <c r="E139"/>
  <c r="L440"/>
  <c r="I432"/>
  <c r="O6" i="37"/>
  <c r="D442" i="38"/>
  <c r="E18"/>
  <c r="M240" i="35"/>
  <c r="D141" i="38"/>
  <c r="E135"/>
  <c r="M142" i="35"/>
  <c r="N430"/>
  <c r="F46" i="38"/>
  <c r="D44"/>
  <c r="E248"/>
  <c r="F9"/>
  <c r="N284" i="35"/>
  <c r="G40" i="38"/>
  <c r="N52" i="35"/>
  <c r="E313" i="38"/>
  <c r="E26"/>
  <c r="L16" i="35"/>
  <c r="K5" i="37"/>
  <c r="F424" i="38"/>
  <c r="E119"/>
  <c r="E348"/>
  <c r="E309"/>
  <c r="K53" i="35"/>
  <c r="M422" i="38"/>
  <c r="N201" i="35"/>
  <c r="N422"/>
  <c r="M143"/>
  <c r="M90"/>
  <c r="L11" i="37"/>
  <c r="D29" i="38"/>
  <c r="M335" i="35"/>
  <c r="M433"/>
  <c r="R7" i="37"/>
  <c r="M171" i="35"/>
  <c r="D332" i="38"/>
  <c r="D273"/>
  <c r="D370"/>
  <c r="N212" i="35"/>
  <c r="N22"/>
  <c r="L90"/>
  <c r="L35"/>
  <c r="M48"/>
  <c r="E20" i="38"/>
  <c r="D247"/>
  <c r="M435"/>
  <c r="F12"/>
  <c r="N444" i="35"/>
  <c r="L443" i="38"/>
  <c r="M51" i="35"/>
  <c r="D302" i="38"/>
  <c r="L38" i="35"/>
  <c r="J442" i="38"/>
  <c r="M443"/>
  <c r="N5" i="37"/>
  <c r="M16"/>
  <c r="D100" i="38"/>
  <c r="D232"/>
  <c r="E14"/>
  <c r="J14" i="37"/>
  <c r="F19" i="38"/>
  <c r="M186" i="35"/>
  <c r="D227" i="38"/>
  <c r="E436"/>
  <c r="N16" i="37"/>
  <c r="M414" i="35"/>
  <c r="D380" i="38"/>
  <c r="J429"/>
  <c r="M336" i="35"/>
  <c r="M232"/>
  <c r="M274"/>
  <c r="D45" i="38"/>
  <c r="E181"/>
  <c r="D344"/>
  <c r="G11"/>
  <c r="G4"/>
  <c r="F439"/>
  <c r="J421"/>
  <c r="E397"/>
  <c r="N224" i="35"/>
  <c r="M221"/>
  <c r="E341" i="38"/>
  <c r="N305" i="35"/>
  <c r="D255" i="38"/>
  <c r="N181" i="35"/>
  <c r="J30" i="37"/>
  <c r="D86" i="38"/>
  <c r="E232"/>
  <c r="E236"/>
  <c r="G9"/>
  <c r="D349"/>
  <c r="E303"/>
  <c r="I422"/>
  <c r="E185"/>
  <c r="N309" i="35"/>
  <c r="S6" i="37"/>
  <c r="R10"/>
  <c r="M41" i="35"/>
  <c r="N378"/>
  <c r="D75" i="38"/>
  <c r="N116" i="35"/>
  <c r="F438" i="38"/>
  <c r="E444"/>
  <c r="N144" i="35"/>
  <c r="E8" i="38"/>
  <c r="F428"/>
  <c r="E111"/>
  <c r="M122" i="35"/>
  <c r="E71" i="38"/>
  <c r="D259"/>
  <c r="M421"/>
  <c r="E253"/>
  <c r="D39"/>
  <c r="E31"/>
  <c r="L430"/>
  <c r="E312"/>
  <c r="D268"/>
  <c r="L51" i="35"/>
  <c r="G57" i="38"/>
  <c r="M429" i="35"/>
  <c r="D97" i="38"/>
  <c r="N23" i="37"/>
  <c r="E97" i="38"/>
  <c r="N374" i="35"/>
  <c r="E4" i="38"/>
  <c r="K9" i="35"/>
  <c r="R23" i="37"/>
  <c r="D320" i="38"/>
  <c r="E77"/>
  <c r="E216"/>
  <c r="L432"/>
  <c r="M341" i="35"/>
  <c r="D157" i="38"/>
  <c r="I438"/>
  <c r="L21" i="35"/>
  <c r="L429" i="38"/>
  <c r="M39" i="35"/>
  <c r="D331" i="38"/>
  <c r="M375" i="35"/>
  <c r="D359" i="38"/>
  <c r="E318"/>
  <c r="N78" i="35"/>
  <c r="G22" i="38"/>
  <c r="D356"/>
  <c r="D336"/>
  <c r="D403"/>
  <c r="E231"/>
  <c r="G434"/>
  <c r="G56"/>
  <c r="D290"/>
  <c r="M238" i="35"/>
  <c r="D20" i="38"/>
  <c r="L26" i="35"/>
  <c r="D78" i="38"/>
  <c r="D2"/>
  <c r="N106" i="35"/>
  <c r="E220" i="38"/>
  <c r="M437" i="35"/>
  <c r="D318" i="38"/>
  <c r="M418" i="35"/>
  <c r="N178"/>
  <c r="K67"/>
  <c r="E408" i="38"/>
  <c r="N18" i="35"/>
  <c r="E433" i="38"/>
  <c r="M425"/>
  <c r="E6"/>
  <c r="M267" i="35"/>
  <c r="D431" i="38"/>
  <c r="D262"/>
  <c r="D162"/>
  <c r="K22" i="35"/>
  <c r="H440" i="38"/>
  <c r="I441"/>
  <c r="E287"/>
  <c r="J31" i="37"/>
  <c r="G438" i="38"/>
  <c r="N108" i="35"/>
  <c r="J425" i="38"/>
  <c r="D89"/>
  <c r="D410"/>
  <c r="L92" i="35"/>
  <c r="D250" i="38"/>
  <c r="F61"/>
  <c r="F34"/>
  <c r="J35" i="37"/>
  <c r="D300" i="38"/>
  <c r="J445"/>
  <c r="K35" i="37"/>
  <c r="E316" i="38"/>
  <c r="M273" i="35"/>
  <c r="E156" i="38"/>
  <c r="D407"/>
  <c r="F421"/>
  <c r="M15" i="37"/>
  <c r="D101" i="38"/>
  <c r="E104"/>
  <c r="D88"/>
  <c r="D149"/>
  <c r="N435" i="35"/>
  <c r="E82" i="38"/>
  <c r="M118" i="35"/>
  <c r="D239" i="38"/>
  <c r="E38"/>
  <c r="E383"/>
  <c r="F42"/>
  <c r="E361"/>
  <c r="M321" i="35"/>
  <c r="D113" i="38"/>
  <c r="N136" i="35"/>
  <c r="K433" i="38"/>
  <c r="M360" i="35"/>
  <c r="D265" i="38"/>
  <c r="S15" i="37"/>
  <c r="F60" i="38"/>
  <c r="E131"/>
  <c r="D165"/>
  <c r="L426"/>
  <c r="E178"/>
  <c r="D47"/>
  <c r="M5" i="35"/>
  <c r="L21" i="37"/>
  <c r="K438" i="38"/>
  <c r="F23"/>
  <c r="E79"/>
  <c r="L439"/>
  <c r="M123" i="35"/>
  <c r="F5" i="38"/>
  <c r="H429"/>
  <c r="D154"/>
  <c r="D311"/>
  <c r="E78"/>
  <c r="E153"/>
  <c r="J439"/>
  <c r="N354" i="35"/>
  <c r="K9" i="37"/>
  <c r="M184" i="35"/>
  <c r="M42"/>
  <c r="D85" i="38"/>
  <c r="N131" i="35"/>
  <c r="E87" i="38"/>
  <c r="M58" i="35"/>
  <c r="E337" i="38"/>
  <c r="L13" i="35"/>
  <c r="E352" i="38"/>
  <c r="D363"/>
  <c r="D211"/>
  <c r="D338"/>
  <c r="L74" i="35"/>
  <c r="M35"/>
  <c r="N130"/>
  <c r="D114" i="38"/>
  <c r="F28"/>
  <c r="D34"/>
  <c r="M363" i="35"/>
  <c r="E366" i="38"/>
  <c r="N146" i="35"/>
  <c r="F441" i="38"/>
  <c r="K427"/>
  <c r="E371"/>
  <c r="M110" i="35"/>
  <c r="L68"/>
  <c r="D238" i="38"/>
  <c r="G43"/>
  <c r="E163"/>
  <c r="D317"/>
  <c r="M178" i="35"/>
  <c r="G435" i="38"/>
  <c r="D192"/>
  <c r="N61" i="35"/>
  <c r="M430" i="38"/>
  <c r="E60"/>
  <c r="N322" i="35"/>
  <c r="D324" i="38"/>
  <c r="D354"/>
  <c r="P6" i="37"/>
  <c r="M322" i="35"/>
  <c r="L423" i="38"/>
  <c r="D176"/>
  <c r="K65" i="35"/>
  <c r="H437" i="38"/>
  <c r="D203"/>
  <c r="D312"/>
  <c r="P23" i="37"/>
  <c r="D147" i="38"/>
  <c r="N102" i="35"/>
  <c r="D54" i="38"/>
  <c r="M444" i="35"/>
  <c r="M14" i="37"/>
  <c r="O9"/>
  <c r="K432" i="38"/>
  <c r="K11" i="35"/>
  <c r="E280" i="38"/>
  <c r="L112" i="35"/>
  <c r="D328" i="38"/>
  <c r="F43"/>
  <c r="D14"/>
  <c r="F64"/>
  <c r="G61"/>
  <c r="E320"/>
  <c r="D58"/>
  <c r="M8" i="35"/>
  <c r="H433" i="38"/>
  <c r="K48" i="35"/>
  <c r="E69" i="38"/>
  <c r="E129"/>
  <c r="H443"/>
  <c r="I430"/>
  <c r="F45"/>
  <c r="F444"/>
  <c r="E42"/>
  <c r="E174"/>
  <c r="N133" i="35"/>
  <c r="M92"/>
  <c r="E147" i="38"/>
  <c r="N236" i="35"/>
  <c r="Q7" i="37"/>
  <c r="M244" i="35"/>
  <c r="N283"/>
  <c r="K442" i="38"/>
  <c r="M34" i="35"/>
  <c r="M56"/>
  <c r="M179"/>
  <c r="M294"/>
  <c r="G428" i="38"/>
  <c r="L431"/>
  <c r="K18" i="35"/>
  <c r="F54" i="38"/>
  <c r="N56" i="35"/>
  <c r="K39"/>
  <c r="G23" i="38"/>
  <c r="M198" i="35"/>
  <c r="N9" i="37"/>
  <c r="N291" i="35"/>
  <c r="M150"/>
  <c r="K45"/>
  <c r="D323" i="38"/>
  <c r="D28"/>
  <c r="D52"/>
  <c r="M21" i="35"/>
  <c r="N245"/>
  <c r="F35" i="38"/>
  <c r="L428"/>
  <c r="K35" i="35"/>
  <c r="M169"/>
  <c r="M438" i="38"/>
  <c r="N210" i="35"/>
  <c r="E367" i="38"/>
  <c r="E250"/>
  <c r="G25"/>
  <c r="N158" i="35"/>
  <c r="E347" i="38"/>
  <c r="D279"/>
  <c r="P7" i="37"/>
  <c r="M78" i="35"/>
  <c r="D393" i="38"/>
  <c r="M368" i="35"/>
  <c r="D382" i="38"/>
  <c r="G14"/>
  <c r="G37"/>
  <c r="O3" i="37"/>
  <c r="L436" i="38"/>
  <c r="E9"/>
  <c r="N270" i="35"/>
  <c r="K4"/>
  <c r="G445" i="38"/>
  <c r="M442"/>
  <c r="R19" i="37"/>
  <c r="N250" i="35"/>
  <c r="E339" i="38"/>
  <c r="N70" i="35"/>
  <c r="N59"/>
  <c r="D283" i="38"/>
  <c r="J11" i="37"/>
  <c r="D294" i="38"/>
  <c r="L441"/>
  <c r="D424"/>
  <c r="I423"/>
  <c r="F15"/>
  <c r="P13" i="37"/>
  <c r="J9"/>
  <c r="N95" i="35"/>
  <c r="Q11" i="37"/>
  <c r="E154" i="38"/>
  <c r="M213" i="35"/>
  <c r="G34" i="38"/>
  <c r="E276"/>
  <c r="G10"/>
  <c r="D406"/>
  <c r="P35" i="37"/>
  <c r="H426" i="38"/>
  <c r="D394"/>
  <c r="N433" i="35"/>
  <c r="N424"/>
  <c r="D266" i="38"/>
  <c r="E114"/>
  <c r="M209" i="35"/>
  <c r="K17" i="37"/>
  <c r="L25" i="35"/>
  <c r="L40"/>
  <c r="L23" i="37"/>
  <c r="M332" i="35"/>
  <c r="M379"/>
  <c r="D63" i="38"/>
  <c r="M103" i="35"/>
  <c r="F442" i="38"/>
  <c r="M66" i="35"/>
  <c r="N234"/>
  <c r="E48" i="38"/>
  <c r="N248" i="35"/>
  <c r="N195"/>
  <c r="L108"/>
  <c r="D177" i="38"/>
  <c r="E89"/>
  <c r="E223"/>
  <c r="L96" i="35"/>
  <c r="M437" i="38"/>
  <c r="D210"/>
  <c r="M116" i="35"/>
  <c r="L17"/>
  <c r="D378" i="38"/>
  <c r="D341"/>
  <c r="E2"/>
  <c r="D303"/>
  <c r="F13"/>
  <c r="G24"/>
  <c r="E272"/>
  <c r="M315" i="35"/>
  <c r="L16" i="37"/>
  <c r="N120" i="35"/>
  <c r="M185"/>
  <c r="N431"/>
  <c r="N259"/>
  <c r="D198" i="38"/>
  <c r="D342"/>
  <c r="E400"/>
  <c r="S17" i="37"/>
  <c r="D70" i="38"/>
  <c r="D9"/>
  <c r="M316" i="35"/>
  <c r="E422" i="38"/>
  <c r="K16" i="37"/>
  <c r="N377" i="35"/>
  <c r="N294"/>
  <c r="D87" i="38"/>
  <c r="E149"/>
  <c r="D19"/>
  <c r="G6"/>
  <c r="M125" i="35"/>
  <c r="D195" i="38"/>
  <c r="K6" i="35"/>
  <c r="M428" i="38"/>
  <c r="D64"/>
  <c r="L3" i="37"/>
  <c r="E32" i="38"/>
  <c r="L422"/>
  <c r="L10" i="37"/>
  <c r="N97" i="35"/>
  <c r="M325"/>
  <c r="F14" i="38"/>
  <c r="L73" i="35"/>
  <c r="E169" i="38"/>
  <c r="N328" i="35"/>
  <c r="K437" i="38"/>
  <c r="J33" i="37"/>
  <c r="D213" i="38"/>
  <c r="D132"/>
  <c r="G68"/>
  <c r="E293"/>
  <c r="E142"/>
  <c r="N200" i="35"/>
  <c r="M243"/>
  <c r="E120" i="38"/>
  <c r="F24"/>
  <c r="L425"/>
  <c r="G21"/>
  <c r="M194" i="35"/>
  <c r="D243" i="38"/>
  <c r="D183"/>
  <c r="F10"/>
  <c r="D280"/>
  <c r="M347" i="35"/>
  <c r="D98" i="38"/>
  <c r="M33" i="35"/>
  <c r="H430" i="38"/>
  <c r="M129" i="35"/>
  <c r="N364"/>
  <c r="J437" i="38"/>
  <c r="P15" i="37"/>
  <c r="N326" i="35"/>
  <c r="D172" i="38"/>
  <c r="M124" i="35"/>
  <c r="E35" i="38"/>
  <c r="K27" i="35"/>
  <c r="N300"/>
  <c r="E298" i="38"/>
  <c r="M223" i="35"/>
  <c r="E378" i="38"/>
  <c r="N85" i="35"/>
  <c r="O7" i="37"/>
  <c r="N330" i="35"/>
  <c r="D373" i="38"/>
  <c r="G41"/>
  <c r="E98"/>
  <c r="M43" i="35"/>
  <c r="N168"/>
  <c r="M131"/>
  <c r="M15"/>
  <c r="M247"/>
  <c r="L41"/>
  <c r="E144" i="38"/>
  <c r="J15" i="37"/>
  <c r="N260" i="35"/>
  <c r="D77" i="38"/>
  <c r="E289"/>
  <c r="F21"/>
  <c r="N299" i="35"/>
  <c r="L7" i="37"/>
  <c r="M146" i="35"/>
  <c r="E301" i="38"/>
  <c r="D222"/>
  <c r="E322"/>
  <c r="F33"/>
  <c r="H431"/>
  <c r="E167"/>
  <c r="M87" i="35"/>
  <c r="N215"/>
  <c r="E297" i="38"/>
  <c r="N159" i="35"/>
  <c r="K17"/>
  <c r="M212"/>
  <c r="D315" i="38"/>
  <c r="D110"/>
  <c r="K56" i="35"/>
  <c r="P21" i="37"/>
  <c r="D143" i="38"/>
  <c r="L66" i="35"/>
  <c r="D369" i="38"/>
  <c r="N288" i="35"/>
  <c r="D82" i="38"/>
  <c r="D41"/>
  <c r="E358"/>
  <c r="E192"/>
  <c r="E410"/>
  <c r="L62" i="35"/>
  <c r="E47" i="38"/>
  <c r="N343" i="35"/>
  <c r="D92" i="38"/>
  <c r="M282" i="35"/>
  <c r="M258"/>
  <c r="N21" i="37"/>
  <c r="D386" i="38"/>
  <c r="I424"/>
  <c r="E161"/>
  <c r="E36"/>
  <c r="G32"/>
  <c r="N229" i="35"/>
  <c r="M378"/>
  <c r="N148"/>
  <c r="L427" i="38"/>
  <c r="E110"/>
  <c r="E103"/>
  <c r="J28" i="37"/>
  <c r="N41" i="35"/>
  <c r="N302"/>
  <c r="E122" i="38"/>
  <c r="D178"/>
  <c r="K421"/>
  <c r="M57" i="35"/>
  <c r="M25"/>
  <c r="G17" i="38"/>
  <c r="I425"/>
  <c r="E171"/>
  <c r="N55" i="35"/>
  <c r="E360" i="38"/>
  <c r="M419" i="35"/>
  <c r="L6" i="37"/>
  <c r="D169" i="38"/>
  <c r="N319" i="35"/>
  <c r="L14"/>
  <c r="E351" i="38"/>
  <c r="N226" i="35"/>
  <c r="L31"/>
  <c r="G59" i="38"/>
  <c r="D389"/>
  <c r="K60" i="35"/>
  <c r="G29" i="38"/>
  <c r="D145"/>
  <c r="G19"/>
  <c r="N203" i="35"/>
  <c r="N175"/>
  <c r="E288" i="38"/>
  <c r="I427"/>
  <c r="E67"/>
  <c r="E290"/>
  <c r="L421"/>
  <c r="M352" i="35"/>
  <c r="N296"/>
  <c r="L113"/>
  <c r="G425" i="38"/>
  <c r="E421"/>
  <c r="D95"/>
  <c r="D22"/>
  <c r="M160" i="35"/>
  <c r="N167"/>
  <c r="E202" i="38"/>
  <c r="D366"/>
  <c r="L119" i="35"/>
  <c r="E52" i="38"/>
  <c r="D74"/>
  <c r="D50"/>
  <c r="G39"/>
  <c r="M276" i="35"/>
  <c r="E146" i="38"/>
  <c r="H436"/>
  <c r="E99"/>
  <c r="K426"/>
  <c r="K423"/>
  <c r="D187"/>
  <c r="N9" i="35"/>
  <c r="E237" i="38"/>
  <c r="M373" i="35"/>
  <c r="N417"/>
  <c r="E409" i="38"/>
  <c r="K46" i="35"/>
  <c r="M303"/>
  <c r="D257" i="38"/>
  <c r="N376" i="35"/>
  <c r="D102" i="38"/>
  <c r="D345"/>
  <c r="N313" i="35"/>
  <c r="M112"/>
  <c r="O35" i="37"/>
  <c r="M361" i="35"/>
  <c r="N251"/>
  <c r="I443" i="38"/>
  <c r="K40" i="35"/>
  <c r="E28" i="38"/>
  <c r="M83" i="35"/>
  <c r="D391" i="38"/>
  <c r="E234"/>
  <c r="D224"/>
  <c r="E386"/>
  <c r="J436"/>
  <c r="N171" i="35"/>
  <c r="E336" i="38"/>
  <c r="M309" i="35"/>
  <c r="H434" i="38"/>
  <c r="M187" i="35"/>
  <c r="M216"/>
  <c r="D253" i="38"/>
  <c r="M329" i="35"/>
  <c r="N264"/>
  <c r="D365" i="38"/>
  <c r="E196"/>
  <c r="D325"/>
  <c r="E375"/>
  <c r="N68" i="35"/>
  <c r="N363"/>
  <c r="N340"/>
  <c r="E152" i="38"/>
  <c r="N53" i="35"/>
  <c r="I436" i="38"/>
  <c r="E189"/>
  <c r="N60" i="35"/>
  <c r="N281"/>
  <c r="E25" i="38"/>
  <c r="D208"/>
  <c r="E112"/>
  <c r="N360" i="35"/>
  <c r="M310"/>
  <c r="E300" i="38"/>
  <c r="N177" i="35"/>
  <c r="M35" i="37"/>
  <c r="N262" i="35"/>
  <c r="N238"/>
  <c r="L87"/>
  <c r="L442" i="38"/>
  <c r="N356" i="35"/>
  <c r="J433" i="38"/>
  <c r="N138" i="35"/>
  <c r="N439"/>
  <c r="N62"/>
  <c r="G63" i="38"/>
  <c r="E165"/>
  <c r="N140" i="35"/>
  <c r="M292"/>
  <c r="D443" i="38"/>
  <c r="O16" i="37"/>
  <c r="D435" i="38"/>
  <c r="L91" i="35"/>
  <c r="M256"/>
  <c r="N357"/>
  <c r="L118"/>
  <c r="M377"/>
  <c r="D231" i="38"/>
  <c r="L88" i="35"/>
  <c r="N342"/>
  <c r="M356"/>
  <c r="E368" i="38"/>
  <c r="M53" i="35"/>
  <c r="M193"/>
  <c r="E277" i="38"/>
  <c r="E226"/>
  <c r="E424"/>
  <c r="Q23" i="37"/>
  <c r="N71" i="35"/>
  <c r="E124" i="38"/>
  <c r="N121" i="35"/>
  <c r="D358" i="38"/>
  <c r="N103" i="35"/>
  <c r="J25" i="37"/>
  <c r="M205" i="35"/>
  <c r="K444" i="38"/>
  <c r="M93" i="35"/>
  <c r="E222" i="38"/>
  <c r="E125"/>
  <c r="N191" i="35"/>
  <c r="N282"/>
  <c r="D117" i="38"/>
  <c r="E304"/>
  <c r="M443" i="35"/>
  <c r="N350"/>
  <c r="L56"/>
  <c r="M220"/>
  <c r="M154"/>
  <c r="D254" i="38"/>
  <c r="N332" i="35"/>
  <c r="D51" i="38"/>
  <c r="M372" i="35"/>
  <c r="M425"/>
  <c r="M219"/>
  <c r="K12"/>
  <c r="N89"/>
  <c r="N216"/>
  <c r="D436" i="38"/>
  <c r="N220" i="35"/>
  <c r="D269" i="38"/>
  <c r="N72" i="35"/>
  <c r="K429" i="38"/>
  <c r="N286" i="35"/>
  <c r="N13" i="37"/>
  <c r="M246" i="35"/>
  <c r="M177"/>
  <c r="D16" i="38"/>
  <c r="N170" i="35"/>
  <c r="J444" i="38"/>
  <c r="M62" i="35"/>
  <c r="K424" i="38"/>
  <c r="M374" i="35"/>
  <c r="D3" i="38"/>
  <c r="G44"/>
  <c r="M11" i="35"/>
  <c r="N29"/>
  <c r="D351" i="38"/>
  <c r="D277"/>
  <c r="K14" i="37"/>
  <c r="D197" i="38"/>
  <c r="J10" i="37"/>
  <c r="G426" i="38"/>
  <c r="E61"/>
  <c r="E227"/>
  <c r="N276" i="35"/>
  <c r="G52" i="38"/>
  <c r="K8" i="35"/>
  <c r="M106"/>
  <c r="G429" i="38"/>
  <c r="L19" i="37"/>
  <c r="E203" i="38"/>
  <c r="M180" i="35"/>
  <c r="M416"/>
  <c r="D124" i="38"/>
  <c r="G18"/>
  <c r="N261" i="35"/>
  <c r="F440" i="38"/>
  <c r="N316" i="35"/>
  <c r="L71"/>
  <c r="L111"/>
  <c r="K7" i="37"/>
  <c r="D21" i="38"/>
  <c r="L30" i="35"/>
  <c r="N275"/>
  <c r="D127" i="38"/>
  <c r="S21" i="37"/>
  <c r="E134" i="38"/>
  <c r="E334"/>
  <c r="M411" i="35"/>
  <c r="N379"/>
  <c r="D291" i="38"/>
  <c r="N24" i="35"/>
  <c r="N35"/>
  <c r="M260"/>
  <c r="K50"/>
  <c r="D237" i="38"/>
  <c r="G60"/>
  <c r="D24"/>
  <c r="E440"/>
  <c r="E442"/>
  <c r="L130" i="35"/>
  <c r="E40" i="38"/>
  <c r="M296" i="35"/>
  <c r="M297"/>
  <c r="M429" i="38"/>
  <c r="M20" i="35"/>
  <c r="D108" i="38"/>
  <c r="D301"/>
  <c r="D353"/>
  <c r="E34"/>
  <c r="L97" i="35"/>
  <c r="N225"/>
  <c r="G442" i="38"/>
  <c r="E17"/>
  <c r="D55"/>
  <c r="D306"/>
  <c r="D270"/>
  <c r="M183" i="35"/>
  <c r="I445" i="38"/>
  <c r="D205"/>
  <c r="M3" i="37"/>
  <c r="E342" i="38"/>
  <c r="N333" i="35"/>
  <c r="M9" i="37"/>
  <c r="M278" i="35"/>
  <c r="D246" i="38"/>
  <c r="E43"/>
  <c r="D252"/>
  <c r="Q14" i="37"/>
  <c r="E338" i="38"/>
  <c r="D116"/>
  <c r="N303" i="35"/>
  <c r="L48"/>
  <c r="D347" i="38"/>
  <c r="N3" i="35"/>
  <c r="M24"/>
  <c r="M285"/>
  <c r="D30" i="38"/>
  <c r="D7"/>
  <c r="N12" i="35"/>
  <c r="D383" i="38"/>
  <c r="N199" i="35"/>
  <c r="D131" i="38"/>
  <c r="M358" i="35"/>
  <c r="M7" i="37"/>
  <c r="M161" i="35"/>
  <c r="R5" i="37"/>
  <c r="L134" i="35"/>
  <c r="D228" i="38"/>
  <c r="Q35" i="37"/>
  <c r="N287" i="35"/>
  <c r="N366"/>
  <c r="D427" i="38"/>
  <c r="M67" i="35"/>
  <c r="J29" i="37"/>
  <c r="K428" i="38"/>
  <c r="G28"/>
  <c r="N25" i="35"/>
  <c r="D15" i="38"/>
  <c r="E62"/>
  <c r="E65"/>
  <c r="E286"/>
  <c r="D99"/>
  <c r="M31" i="35"/>
  <c r="D438" i="38"/>
  <c r="L127" i="35"/>
  <c r="K430" i="38"/>
  <c r="M54" i="35"/>
  <c r="E27" i="38"/>
  <c r="D322"/>
  <c r="N193" i="35"/>
  <c r="D104" i="38"/>
  <c r="E184"/>
  <c r="M182" i="35"/>
  <c r="D242" i="38"/>
  <c r="G443"/>
  <c r="M61" i="35"/>
  <c r="G64" i="38"/>
  <c r="Q17" i="37"/>
  <c r="D158" i="38"/>
  <c r="F57"/>
  <c r="N371" i="35"/>
  <c r="M206"/>
  <c r="K13"/>
  <c r="G66" i="38"/>
  <c r="L126" i="35"/>
  <c r="L5" i="37"/>
  <c r="J19"/>
  <c r="M270" i="35"/>
  <c r="F422" i="38"/>
  <c r="M23" i="35"/>
  <c r="D218" i="38"/>
  <c r="D146"/>
  <c r="M102" i="35"/>
  <c r="Q10" i="37"/>
  <c r="L115" i="35"/>
  <c r="L10"/>
  <c r="O19" i="37"/>
  <c r="M304" i="35"/>
  <c r="E41" i="38"/>
  <c r="N152" i="35"/>
  <c r="K2"/>
  <c r="J426" i="38"/>
  <c r="E229"/>
  <c r="E12"/>
  <c r="D275"/>
  <c r="E285"/>
  <c r="M445"/>
  <c r="E302"/>
  <c r="N207" i="35"/>
  <c r="F41" i="38"/>
  <c r="L75" i="35"/>
  <c r="F31" i="38"/>
  <c r="E33"/>
  <c r="D423"/>
  <c r="F6"/>
  <c r="M162" i="35"/>
  <c r="N218"/>
  <c r="E328" i="38"/>
  <c r="N415" i="35"/>
  <c r="L52"/>
  <c r="D123" i="38"/>
  <c r="M231" i="35"/>
  <c r="K52"/>
  <c r="E210" i="38"/>
  <c r="D263"/>
  <c r="K21" i="35"/>
  <c r="D348" i="38"/>
  <c r="L114" i="35"/>
  <c r="L9"/>
  <c r="D111" i="38"/>
  <c r="D361"/>
  <c r="D152"/>
  <c r="E16"/>
  <c r="L69" i="35"/>
  <c r="M47"/>
  <c r="L124"/>
  <c r="N162"/>
  <c r="N315"/>
  <c r="E108" i="38"/>
  <c r="N222" i="35"/>
  <c r="D314" i="38"/>
  <c r="E257"/>
  <c r="L63" i="35"/>
  <c r="N8"/>
  <c r="N196"/>
  <c r="F3" i="38"/>
  <c r="F51"/>
  <c r="S19" i="37"/>
  <c r="M140" i="35"/>
  <c r="N269"/>
  <c r="D375" i="38"/>
  <c r="D121"/>
  <c r="D6"/>
  <c r="G46"/>
  <c r="E281"/>
  <c r="D66"/>
  <c r="L53" i="35"/>
  <c r="H438" i="38"/>
  <c r="M376" i="35"/>
  <c r="M348"/>
  <c r="E327" i="38"/>
  <c r="D313"/>
  <c r="E310"/>
  <c r="O5" i="37"/>
  <c r="D42" i="38"/>
  <c r="E168"/>
  <c r="E92"/>
  <c r="N301" i="35"/>
  <c r="F4" i="38"/>
  <c r="G432"/>
  <c r="D200"/>
  <c r="K38" i="35"/>
  <c r="M101"/>
  <c r="N173"/>
  <c r="E68" i="38"/>
  <c r="D299"/>
  <c r="E443"/>
  <c r="M430" i="35"/>
  <c r="D46" i="38"/>
  <c r="F30"/>
  <c r="N211" i="35"/>
  <c r="L23"/>
  <c r="L72"/>
  <c r="N186"/>
  <c r="P3" i="37"/>
  <c r="E158" i="38"/>
  <c r="M145" i="35"/>
  <c r="N127"/>
  <c r="M104"/>
  <c r="D371" i="38"/>
  <c r="M224" i="35"/>
  <c r="G54" i="38"/>
  <c r="D67"/>
  <c r="E362"/>
  <c r="N255" i="35"/>
  <c r="M308"/>
  <c r="K435" i="38"/>
  <c r="M157" i="35"/>
  <c r="E295" i="38"/>
  <c r="M202" i="35"/>
  <c r="N213"/>
  <c r="Q15" i="37"/>
  <c r="F53" i="38"/>
  <c r="N244" i="35"/>
  <c r="G440" i="38"/>
  <c r="N192" i="35"/>
  <c r="K425" i="38"/>
  <c r="E299"/>
  <c r="L82" i="35"/>
  <c r="N209"/>
  <c r="D374" i="38"/>
  <c r="M153" i="35"/>
  <c r="L67"/>
  <c r="D321" i="38"/>
  <c r="M5" i="37"/>
  <c r="M367" i="35"/>
  <c r="N39"/>
  <c r="D264" i="38"/>
  <c r="M242" i="35"/>
  <c r="H425" i="38"/>
  <c r="N434" i="35"/>
  <c r="D12" i="38"/>
  <c r="E148"/>
  <c r="M94" i="35"/>
  <c r="D107" i="38"/>
  <c r="G33"/>
  <c r="D202"/>
  <c r="E372"/>
  <c r="G47"/>
  <c r="D258"/>
  <c r="D367"/>
  <c r="E102"/>
  <c r="M345" i="35"/>
  <c r="N369"/>
  <c r="E399" i="38"/>
  <c r="N58" i="35"/>
  <c r="N109"/>
  <c r="L76"/>
  <c r="K20"/>
  <c r="N243"/>
  <c r="N69"/>
  <c r="O11" i="37"/>
  <c r="L101" i="35"/>
  <c r="K436" i="38"/>
  <c r="N122" i="35"/>
  <c r="D184" i="38"/>
  <c r="L65" i="35"/>
  <c r="E49" i="38"/>
  <c r="M249" i="35"/>
  <c r="E145" i="38"/>
  <c r="E164"/>
  <c r="N44" i="35"/>
  <c r="N40"/>
  <c r="E425" i="38"/>
  <c r="D136"/>
  <c r="N205" i="35"/>
  <c r="N304"/>
  <c r="M17" i="37"/>
  <c r="M91" i="35"/>
  <c r="L77"/>
  <c r="M86"/>
  <c r="F427" i="38"/>
  <c r="D297"/>
  <c r="K445"/>
  <c r="N411" i="35"/>
  <c r="N111"/>
  <c r="D327" i="38"/>
  <c r="M211" i="35"/>
  <c r="D23" i="38"/>
  <c r="D249"/>
  <c r="M210" i="35"/>
  <c r="M440"/>
  <c r="N92"/>
  <c r="D229" i="38"/>
  <c r="N240" i="35"/>
  <c r="Q6" i="37"/>
  <c r="L117" i="35"/>
  <c r="M428"/>
  <c r="E251" i="38"/>
  <c r="F36"/>
  <c r="M3" i="35"/>
  <c r="N23"/>
  <c r="E305" i="38"/>
  <c r="M126" i="35"/>
  <c r="N81"/>
  <c r="E255" i="38"/>
  <c r="G422"/>
  <c r="E284"/>
  <c r="M117" i="35"/>
  <c r="M73"/>
  <c r="E19" i="38"/>
  <c r="K440"/>
  <c r="E180"/>
  <c r="M18" i="35"/>
  <c r="N277"/>
  <c r="D80" i="38"/>
  <c r="K36" i="35"/>
  <c r="L3"/>
  <c r="P5" i="37"/>
  <c r="G441" i="38"/>
  <c r="E261"/>
  <c r="M417" i="35"/>
  <c r="M199"/>
  <c r="P9" i="37"/>
  <c r="M255" i="35"/>
  <c r="N432"/>
  <c r="N163"/>
  <c r="D179" i="38"/>
  <c r="D180"/>
  <c r="E296"/>
  <c r="D432"/>
  <c r="M327" i="35"/>
  <c r="N421"/>
  <c r="E95" i="38"/>
  <c r="M14" i="35"/>
  <c r="E197" i="38"/>
  <c r="N117" i="35"/>
  <c r="E107" i="38"/>
  <c r="L39" i="35"/>
  <c r="M128"/>
  <c r="N246"/>
  <c r="M119"/>
  <c r="E46" i="38"/>
  <c r="E217"/>
  <c r="D214"/>
  <c r="M433"/>
  <c r="M135" i="35"/>
  <c r="N156"/>
  <c r="L34"/>
  <c r="I428" i="38"/>
  <c r="E198"/>
  <c r="E315"/>
  <c r="E403"/>
  <c r="L29" i="35"/>
  <c r="G35" i="38"/>
  <c r="M432" i="35"/>
  <c r="D174" i="38"/>
  <c r="D379"/>
  <c r="I435"/>
  <c r="M203" i="35"/>
  <c r="M152"/>
  <c r="E432" i="38"/>
  <c r="M344" i="35"/>
  <c r="E379" i="38"/>
  <c r="F434"/>
  <c r="M334" i="35"/>
  <c r="N310"/>
  <c r="M333"/>
  <c r="J422" i="38"/>
  <c r="N308" i="35"/>
  <c r="M133"/>
  <c r="M306"/>
  <c r="M319"/>
  <c r="L444" i="38"/>
  <c r="E22"/>
  <c r="N32" i="35"/>
  <c r="M141"/>
  <c r="E267" i="38"/>
  <c r="E29"/>
  <c r="L129" i="35"/>
  <c r="E242" i="38"/>
  <c r="E50"/>
  <c r="D126"/>
  <c r="G67"/>
  <c r="O10" i="37"/>
  <c r="M99" i="35"/>
  <c r="M50"/>
  <c r="E51" i="38"/>
  <c r="D305"/>
  <c r="M431"/>
  <c r="M268" i="35"/>
  <c r="N30"/>
  <c r="R3" i="37"/>
  <c r="E240" i="38"/>
  <c r="E213"/>
  <c r="M343" i="35"/>
  <c r="M120"/>
  <c r="S5" i="37"/>
  <c r="D134" i="38"/>
  <c r="K15" i="37"/>
  <c r="I431" i="38"/>
  <c r="N174" i="35"/>
  <c r="M77"/>
  <c r="M16"/>
  <c r="D84" i="38"/>
  <c r="I439"/>
  <c r="N273" i="35"/>
  <c r="L445" i="38"/>
  <c r="D346"/>
  <c r="G13"/>
  <c r="P11" i="37"/>
  <c r="L36" i="35"/>
  <c r="Q9" i="37"/>
  <c r="M134" i="35"/>
  <c r="M307"/>
  <c r="F430" i="38"/>
  <c r="N37" i="35"/>
  <c r="N298"/>
  <c r="M13" i="37"/>
  <c r="F17" i="38"/>
  <c r="N143" i="35"/>
  <c r="F37" i="38"/>
  <c r="D164"/>
  <c r="D207"/>
  <c r="D4"/>
  <c r="M100" i="35"/>
  <c r="E376" i="38"/>
  <c r="D256"/>
  <c r="M349" i="35"/>
  <c r="D103" i="38"/>
  <c r="N307" i="35"/>
  <c r="M290"/>
  <c r="M64"/>
  <c r="M109"/>
  <c r="M217"/>
  <c r="G48" i="38"/>
  <c r="N208" i="35"/>
  <c r="N118"/>
  <c r="E80" i="38"/>
  <c r="E311"/>
  <c r="E126"/>
  <c r="F38"/>
  <c r="E429"/>
  <c r="D32"/>
  <c r="J26" i="37"/>
  <c r="M331" i="35"/>
  <c r="K41"/>
  <c r="D94" i="38"/>
  <c r="K49" i="35"/>
  <c r="N247"/>
  <c r="L433" i="38"/>
  <c r="M173" i="35"/>
  <c r="N141"/>
  <c r="L102"/>
  <c r="E72" i="38"/>
  <c r="N132" i="35"/>
  <c r="M441" i="38"/>
  <c r="D144"/>
  <c r="D340"/>
  <c r="N36" i="35"/>
  <c r="N161"/>
  <c r="M426"/>
  <c r="M287"/>
  <c r="E385" i="38"/>
  <c r="D17"/>
  <c r="D225"/>
  <c r="N139" i="35"/>
  <c r="E100" i="38"/>
  <c r="G427"/>
  <c r="M324" i="35"/>
  <c r="N358"/>
  <c r="E406" i="38"/>
  <c r="D245"/>
  <c r="E94"/>
  <c r="K30" i="35"/>
  <c r="N51"/>
  <c r="F32" i="38"/>
  <c r="N219" i="35"/>
  <c r="D182" i="38"/>
  <c r="D316"/>
  <c r="L37" i="35"/>
  <c r="D352" i="38"/>
  <c r="M302" i="35"/>
  <c r="M279"/>
  <c r="E377" i="38"/>
  <c r="L9" i="37"/>
  <c r="N87" i="35"/>
  <c r="H432" i="38"/>
  <c r="E256"/>
  <c r="E132"/>
  <c r="R15" i="37"/>
  <c r="M289" i="35"/>
  <c r="M191"/>
  <c r="M17"/>
  <c r="E346" i="38"/>
  <c r="D372"/>
  <c r="N334" i="35"/>
  <c r="D319" i="38"/>
  <c r="N367" i="35"/>
  <c r="F437" i="38"/>
  <c r="M75" i="35"/>
  <c r="I440" i="38"/>
  <c r="E396"/>
  <c r="G421"/>
  <c r="N297" i="35"/>
  <c r="E428" i="38"/>
  <c r="D339"/>
  <c r="L121" i="35"/>
  <c r="R11" i="37"/>
  <c r="E88" i="38"/>
  <c r="L22" i="35"/>
  <c r="D400" i="38"/>
  <c r="M107" i="35"/>
  <c r="G42" i="38"/>
  <c r="N149" i="35"/>
  <c r="M218"/>
  <c r="M190"/>
  <c r="N26"/>
  <c r="E329" i="38"/>
  <c r="E363"/>
  <c r="K24" i="35"/>
  <c r="D26" i="38"/>
  <c r="M214" i="35"/>
  <c r="M424"/>
  <c r="N64"/>
  <c r="D173" i="38"/>
  <c r="D209"/>
  <c r="L42" i="35"/>
  <c r="E37" i="38"/>
  <c r="G50"/>
  <c r="O15" i="37"/>
  <c r="D397" i="38"/>
  <c r="N232" i="35"/>
  <c r="H422" i="38"/>
  <c r="D298"/>
  <c r="N339" i="35"/>
  <c r="M353"/>
  <c r="E263" i="38"/>
  <c r="G30"/>
  <c r="N337" i="35"/>
  <c r="F67" i="38"/>
  <c r="F429"/>
  <c r="J428"/>
  <c r="P16" i="37"/>
  <c r="L120" i="35"/>
  <c r="M174"/>
  <c r="Q21" i="37"/>
  <c r="E233" i="38"/>
  <c r="E344"/>
  <c r="R21" i="37"/>
  <c r="E326" i="38"/>
  <c r="E241"/>
  <c r="E274"/>
  <c r="N361" i="35"/>
  <c r="E441" i="38"/>
  <c r="N217" i="35"/>
  <c r="E55" i="38"/>
  <c r="N329" i="35"/>
  <c r="K55"/>
  <c r="M351"/>
  <c r="E212" i="38"/>
  <c r="K25" i="35"/>
  <c r="D274" i="38"/>
  <c r="M46" i="35"/>
  <c r="K66"/>
  <c r="J435" i="38"/>
  <c r="D168"/>
  <c r="L132" i="35"/>
  <c r="D27" i="38"/>
  <c r="D444"/>
  <c r="D437"/>
  <c r="M426"/>
  <c r="N194" i="35"/>
  <c r="J427" i="38"/>
  <c r="N420" i="35"/>
  <c r="K422" i="38"/>
  <c r="N166" i="35"/>
  <c r="M168"/>
  <c r="E431" i="38"/>
  <c r="D433"/>
  <c r="K10" i="37"/>
  <c r="N271" i="35"/>
  <c r="E439" i="38"/>
  <c r="D221"/>
  <c r="Q16" i="37"/>
  <c r="N10"/>
  <c r="D439" i="38"/>
  <c r="N419" i="35"/>
  <c r="K431" i="38"/>
  <c r="D135"/>
  <c r="N31" i="35"/>
  <c r="N323"/>
  <c r="N267"/>
  <c r="N129"/>
  <c r="D25" i="38"/>
  <c r="D38"/>
  <c r="N249" i="35"/>
  <c r="D385" i="38"/>
  <c r="M413" i="35"/>
  <c r="M272"/>
  <c r="E349" i="38"/>
  <c r="M420" i="35"/>
  <c r="M13"/>
  <c r="D120" i="38"/>
  <c r="D112"/>
  <c r="D384"/>
  <c r="E268"/>
  <c r="M108" i="35"/>
  <c r="D105" i="38"/>
  <c r="N274" i="35"/>
  <c r="E56" i="38"/>
  <c r="D166"/>
  <c r="E354"/>
  <c r="E159"/>
  <c r="M222" i="35"/>
  <c r="N336"/>
  <c r="D33" i="38"/>
  <c r="E113"/>
  <c r="L58" i="35"/>
  <c r="K51"/>
  <c r="M354"/>
  <c r="E271" i="38"/>
  <c r="L80" i="35"/>
  <c r="M346"/>
  <c r="D226" i="38"/>
  <c r="E333"/>
  <c r="E190"/>
  <c r="E39"/>
  <c r="N101" i="35"/>
  <c r="D83" i="38"/>
  <c r="K3" i="35"/>
  <c r="I437" i="38"/>
  <c r="M96" i="35"/>
  <c r="D161" i="38"/>
  <c r="K7" i="35"/>
  <c r="N365"/>
  <c r="E155" i="38"/>
  <c r="F22"/>
  <c r="E138"/>
  <c r="E356"/>
  <c r="R9" i="37"/>
  <c r="F49" i="38"/>
  <c r="L18" i="35"/>
  <c r="M11" i="37"/>
  <c r="M355" i="35"/>
  <c r="H427" i="38"/>
  <c r="M29" i="35"/>
  <c r="N187"/>
  <c r="M114"/>
  <c r="L59"/>
  <c r="M228"/>
  <c r="F56" i="38"/>
  <c r="E321"/>
  <c r="N331" i="35"/>
  <c r="D186" i="38"/>
  <c r="E373"/>
  <c r="D56"/>
  <c r="E13"/>
  <c r="D128"/>
  <c r="N375" i="35"/>
  <c r="M236"/>
  <c r="M431"/>
  <c r="M163"/>
  <c r="M201"/>
  <c r="N104"/>
  <c r="E75" i="38"/>
  <c r="N418" i="35"/>
  <c r="D326" i="38"/>
  <c r="L86" i="35"/>
  <c r="G424" i="38"/>
  <c r="D91"/>
  <c r="N14" i="35"/>
  <c r="M248"/>
  <c r="M130"/>
  <c r="K63"/>
  <c r="M113"/>
  <c r="M323"/>
  <c r="N4"/>
  <c r="E218" i="38"/>
  <c r="J441"/>
  <c r="N83" i="35"/>
  <c r="E73" i="38"/>
  <c r="L128" i="35"/>
  <c r="E392" i="38"/>
  <c r="M423" i="35"/>
  <c r="N75"/>
  <c r="M350"/>
  <c r="N314"/>
  <c r="E128" i="38"/>
  <c r="M65" i="35"/>
  <c r="E53" i="38"/>
  <c r="M166" i="35"/>
  <c r="S16" i="37"/>
  <c r="M195" i="35"/>
  <c r="M440" i="38"/>
  <c r="N47" i="35"/>
  <c r="E437" i="38"/>
  <c r="R17" i="37"/>
  <c r="M439" i="35"/>
  <c r="M301"/>
  <c r="K439" i="38"/>
  <c r="E230"/>
  <c r="D337"/>
  <c r="M286" i="35"/>
  <c r="D368" i="38"/>
  <c r="E23"/>
  <c r="M371" i="35"/>
  <c r="G31" i="38"/>
  <c r="N172" i="35"/>
  <c r="J3" i="37"/>
  <c r="E407" i="38"/>
  <c r="E294"/>
  <c r="N13" i="35"/>
  <c r="N49"/>
  <c r="M144"/>
  <c r="M36"/>
  <c r="F8" i="38"/>
  <c r="D193"/>
  <c r="N188" i="35"/>
  <c r="J5" i="37"/>
  <c r="M19" i="35"/>
  <c r="D261" i="38"/>
  <c r="L131" i="35"/>
  <c r="G38" i="38"/>
  <c r="D289"/>
  <c r="M207" i="35"/>
  <c r="L89"/>
  <c r="E235" i="38"/>
  <c r="N279" i="35"/>
  <c r="L5"/>
  <c r="D53" i="38"/>
  <c r="K28" i="35"/>
  <c r="D216" i="38"/>
  <c r="S10" i="37"/>
  <c r="F7" i="38"/>
  <c r="E84"/>
  <c r="G27"/>
  <c r="M181" i="35"/>
  <c r="D106" i="38"/>
  <c r="N413" i="35"/>
  <c r="N176"/>
  <c r="M299"/>
  <c r="N349"/>
  <c r="N257"/>
  <c r="K6" i="37"/>
  <c r="D171" i="38"/>
  <c r="M74" i="35"/>
  <c r="K57"/>
  <c r="N346"/>
  <c r="M305"/>
  <c r="N344"/>
  <c r="I429" i="38"/>
  <c r="N115" i="35"/>
  <c r="S3" i="37"/>
  <c r="L11" i="35"/>
  <c r="G49" i="38"/>
  <c r="D329"/>
  <c r="D49"/>
  <c r="F58"/>
  <c r="E143"/>
  <c r="M69" i="35"/>
  <c r="N189"/>
  <c r="N373"/>
  <c r="E10" i="38"/>
  <c r="L33" i="35"/>
  <c r="E5" i="38"/>
  <c r="N128" i="35"/>
  <c r="M188"/>
  <c r="M4"/>
  <c r="D387" i="38"/>
  <c r="E96"/>
  <c r="M22" i="35"/>
  <c r="M362"/>
  <c r="N412"/>
  <c r="M82"/>
  <c r="M40"/>
  <c r="H444" i="38"/>
  <c r="M30" i="35"/>
  <c r="N223"/>
  <c r="L45"/>
  <c r="G20" i="38"/>
  <c r="H441"/>
  <c r="M52" i="35"/>
  <c r="E188" i="38"/>
  <c r="M269" i="35"/>
  <c r="D156" i="38"/>
  <c r="M196" i="35"/>
  <c r="E15" i="38"/>
  <c r="L109" i="35"/>
  <c r="M441"/>
  <c r="N362"/>
  <c r="D392" i="38"/>
  <c r="E224"/>
  <c r="N73" i="35"/>
  <c r="N145"/>
  <c r="M95"/>
  <c r="N214"/>
  <c r="D31" i="38"/>
  <c r="E405"/>
  <c r="D388"/>
  <c r="N43" i="35"/>
  <c r="D396" i="38"/>
  <c r="N182" i="35"/>
  <c r="E170" i="38"/>
  <c r="M251" i="35"/>
  <c r="D434" i="38"/>
  <c r="M435" i="35"/>
  <c r="D217" i="38"/>
  <c r="L57" i="35"/>
  <c r="D48" i="38"/>
  <c r="E140"/>
  <c r="D119"/>
  <c r="J424"/>
  <c r="M137" i="35"/>
  <c r="N278"/>
  <c r="K16"/>
  <c r="M156"/>
  <c r="M121"/>
  <c r="K43"/>
  <c r="D36" i="38"/>
  <c r="M10" i="35"/>
  <c r="M132"/>
  <c r="G16" i="38"/>
  <c r="M26" i="35"/>
  <c r="M63"/>
  <c r="K58"/>
  <c r="D376" i="38"/>
  <c r="N11" i="37"/>
  <c r="M21"/>
  <c r="Q19"/>
  <c r="N368" i="35"/>
  <c r="E173" i="38"/>
  <c r="E335"/>
  <c r="L79" i="35"/>
  <c r="D362" i="38"/>
  <c r="N6" i="35"/>
  <c r="N5"/>
  <c r="E199" i="38"/>
  <c r="L32" i="35"/>
  <c r="E266" i="38"/>
  <c r="N311" i="35"/>
  <c r="D343" i="38"/>
  <c r="E141"/>
  <c r="J431"/>
  <c r="N324" i="35"/>
  <c r="N202"/>
  <c r="J16" i="37"/>
  <c r="N268" i="35"/>
  <c r="L61"/>
  <c r="E404" i="38"/>
  <c r="D137"/>
  <c r="E54"/>
  <c r="E83"/>
  <c r="D390"/>
  <c r="M415" i="35"/>
  <c r="E278" i="38"/>
  <c r="D5"/>
  <c r="M76" i="35"/>
  <c r="E211" i="38"/>
  <c r="K443"/>
  <c r="N99" i="35"/>
  <c r="D409" i="38"/>
  <c r="L106" i="35"/>
  <c r="M208"/>
  <c r="M254"/>
  <c r="E330" i="38"/>
  <c r="E176"/>
  <c r="E162"/>
  <c r="N79" i="35"/>
  <c r="L438" i="38"/>
  <c r="F423"/>
  <c r="N19" i="35"/>
  <c r="N98"/>
  <c r="N135"/>
  <c r="N82"/>
  <c r="D151" i="38"/>
  <c r="M72" i="35"/>
  <c r="N427"/>
  <c r="J21" i="37"/>
  <c r="L15" i="35"/>
  <c r="E435" i="38"/>
  <c r="H445"/>
  <c r="L60" i="35"/>
  <c r="F29" i="38"/>
  <c r="N54" i="35"/>
  <c r="F435" i="38"/>
  <c r="M237" i="35"/>
  <c r="E269" i="38"/>
  <c r="D60"/>
  <c r="M326" i="35"/>
  <c r="N123"/>
  <c r="N50"/>
  <c r="M330"/>
  <c r="M27"/>
  <c r="N150"/>
  <c r="D201" i="38"/>
  <c r="N235" i="35"/>
  <c r="F25" i="38"/>
  <c r="M38" i="35"/>
  <c r="G58" i="38"/>
  <c r="G65"/>
  <c r="G62"/>
  <c r="D153"/>
  <c r="N292" i="35"/>
  <c r="M295"/>
  <c r="N20"/>
  <c r="D304" i="38"/>
  <c r="N438" i="35"/>
  <c r="L64"/>
  <c r="M229"/>
  <c r="L434" i="38"/>
  <c r="D284"/>
  <c r="D399"/>
  <c r="M37" i="35"/>
  <c r="E193" i="38"/>
  <c r="M167" i="35"/>
  <c r="E207" i="38"/>
  <c r="K5" i="35"/>
  <c r="N256"/>
  <c r="M298"/>
  <c r="D334" i="38"/>
  <c r="E157"/>
  <c r="N46" i="35"/>
  <c r="L50"/>
  <c r="M359"/>
  <c r="M257"/>
  <c r="D251" i="38"/>
  <c r="L94" i="35"/>
  <c r="N112"/>
  <c r="D330" i="38"/>
  <c r="L95" i="35"/>
  <c r="E74" i="38"/>
  <c r="M2" i="35"/>
  <c r="M370"/>
  <c r="N183"/>
  <c r="E365" i="38"/>
  <c r="N221" i="35"/>
  <c r="N335"/>
  <c r="E331" i="38"/>
  <c r="E194"/>
  <c r="K37" i="35"/>
  <c r="M139"/>
  <c r="E265" i="38"/>
  <c r="I434"/>
  <c r="F431"/>
  <c r="N91" i="35"/>
  <c r="L123"/>
  <c r="L133"/>
  <c r="M79"/>
  <c r="D235" i="38"/>
  <c r="K42" i="35"/>
  <c r="J34" i="37"/>
  <c r="L27" i="35"/>
  <c r="D72" i="38"/>
  <c r="G51"/>
  <c r="E427"/>
  <c r="D357"/>
  <c r="K54" i="35"/>
  <c r="N341"/>
  <c r="L98"/>
  <c r="N380"/>
  <c r="L110"/>
  <c r="D11" i="38"/>
  <c r="D159"/>
  <c r="N96" i="35"/>
  <c r="E66" i="38"/>
  <c r="D13"/>
  <c r="N14" i="37"/>
  <c r="D425" i="38"/>
  <c r="E130"/>
  <c r="D355"/>
  <c r="M10" i="37"/>
  <c r="M148" i="35"/>
  <c r="D109" i="38"/>
  <c r="J13" i="37"/>
  <c r="M342" i="35"/>
  <c r="N306"/>
  <c r="E246" i="38"/>
  <c r="E151"/>
  <c r="E186"/>
  <c r="D138"/>
  <c r="F445"/>
  <c r="L19" i="35"/>
  <c r="N242"/>
  <c r="M234"/>
  <c r="N126"/>
  <c r="N88"/>
  <c r="N272"/>
  <c r="Q5" i="37"/>
  <c r="M284" i="35"/>
  <c r="N93"/>
  <c r="N227"/>
  <c r="F425" i="38"/>
  <c r="M444"/>
  <c r="D240"/>
  <c r="E380"/>
  <c r="K61" i="35"/>
  <c r="M170"/>
  <c r="D296" i="38"/>
  <c r="N137" i="35"/>
  <c r="J423" i="38"/>
  <c r="L8" i="35"/>
  <c r="E350" i="38"/>
  <c r="E150"/>
  <c r="N169" i="35"/>
  <c r="K23"/>
  <c r="N230"/>
  <c r="D429" i="38"/>
  <c r="M227" i="35"/>
  <c r="N17" i="37"/>
  <c r="E127" i="38"/>
  <c r="M311" i="35"/>
  <c r="Q13" i="37"/>
  <c r="L104" i="35"/>
  <c r="K44"/>
  <c r="D364" i="38"/>
  <c r="N164" i="35"/>
  <c r="R14" i="37"/>
  <c r="G3" i="38"/>
  <c r="D381"/>
  <c r="E57"/>
  <c r="K10" i="35"/>
  <c r="M432" i="38"/>
  <c r="K64" i="35"/>
  <c r="F40" i="38"/>
  <c r="N7" i="35"/>
  <c r="M230"/>
  <c r="D285" i="38"/>
  <c r="N154" i="35"/>
  <c r="L78"/>
  <c r="D170" i="38"/>
  <c r="N94" i="35"/>
  <c r="L12"/>
  <c r="K26"/>
  <c r="E259" i="38"/>
  <c r="N293" i="35"/>
  <c r="E370" i="38"/>
  <c r="D421"/>
  <c r="G439"/>
  <c r="D350"/>
  <c r="M60" i="35"/>
  <c r="D133" i="38"/>
  <c r="N351" i="35"/>
  <c r="M427" i="38"/>
  <c r="L84" i="35"/>
  <c r="M291"/>
  <c r="M88"/>
  <c r="E121" i="38"/>
  <c r="E64"/>
  <c r="E91"/>
  <c r="F16"/>
  <c r="M266" i="35"/>
  <c r="M436"/>
  <c r="E395" i="38"/>
  <c r="M340" i="35"/>
  <c r="M197"/>
  <c r="D215" i="38"/>
  <c r="N38" i="35"/>
  <c r="S7" i="37"/>
  <c r="K14" i="35"/>
  <c r="G444" i="38"/>
  <c r="M155" i="35"/>
  <c r="J438" i="38"/>
  <c r="N440" i="35"/>
  <c r="R13" i="37"/>
  <c r="N443" i="35"/>
  <c r="M85"/>
  <c r="D129" i="38"/>
  <c r="G437"/>
  <c r="D155"/>
  <c r="N28" i="35"/>
  <c r="M263"/>
  <c r="D43" i="38"/>
  <c r="N359" i="35"/>
  <c r="G2" i="38"/>
  <c r="F27"/>
  <c r="M136" i="35"/>
  <c r="F59" i="38"/>
  <c r="G433"/>
  <c r="E175"/>
  <c r="K23" i="37"/>
  <c r="S9"/>
  <c r="N423" i="35"/>
  <c r="E59" i="38"/>
  <c r="N428" i="35"/>
  <c r="N65"/>
  <c r="N33"/>
  <c r="E390" i="38"/>
  <c r="E260"/>
  <c r="E183"/>
  <c r="L435"/>
  <c r="E243"/>
  <c r="E374"/>
  <c r="M225" i="35"/>
  <c r="E182" i="38"/>
  <c r="N325" i="35"/>
  <c r="F65" i="38"/>
  <c r="D90"/>
  <c r="M59" i="35"/>
  <c r="E388" i="38"/>
  <c r="D130"/>
  <c r="G5"/>
  <c r="H424"/>
  <c r="N151" i="35"/>
  <c r="D10" i="38"/>
  <c r="N86" i="35"/>
  <c r="L46"/>
  <c r="G53" i="38"/>
  <c r="E109"/>
  <c r="N241" i="35"/>
  <c r="F436" i="38"/>
  <c r="N110" i="35"/>
  <c r="D115" i="38"/>
  <c r="D310"/>
  <c r="M97" i="35"/>
  <c r="N67"/>
  <c r="E391" i="38"/>
  <c r="M253" i="35"/>
  <c r="E252" i="38"/>
  <c r="S11" i="37"/>
  <c r="M149" i="35"/>
  <c r="D35" i="38"/>
  <c r="D286"/>
  <c r="P19" i="37"/>
  <c r="K59" i="35"/>
  <c r="E343" i="38"/>
  <c r="M424"/>
  <c r="M159" i="35"/>
  <c r="I442" i="38"/>
  <c r="M158" i="35"/>
  <c r="G423" i="38"/>
  <c r="R16" i="37"/>
  <c r="D189" i="38"/>
  <c r="N338" i="35"/>
  <c r="M312"/>
  <c r="G26" i="38"/>
  <c r="E247"/>
  <c r="M300" i="35"/>
  <c r="D441" i="38"/>
  <c r="N231" i="35"/>
  <c r="N2"/>
  <c r="N348"/>
  <c r="M366"/>
  <c r="M313"/>
  <c r="N48"/>
  <c r="M442"/>
  <c r="F39" i="38"/>
  <c r="N441" i="35"/>
  <c r="M337"/>
  <c r="M339"/>
  <c r="S35" i="37"/>
  <c r="K29" i="35"/>
  <c r="M70"/>
  <c r="D219" i="38"/>
  <c r="D96"/>
  <c r="M147" i="35"/>
  <c r="L105"/>
  <c r="N295"/>
  <c r="N142"/>
  <c r="M280"/>
  <c r="M6"/>
  <c r="E208" i="38"/>
  <c r="N253" i="35"/>
  <c r="L28"/>
  <c r="S13" i="37"/>
  <c r="M423" i="38"/>
  <c r="L55" i="35"/>
  <c r="E270" i="38"/>
  <c r="D212"/>
  <c r="M275" i="35"/>
  <c r="D37" i="38"/>
  <c r="E7"/>
  <c r="J17" i="37"/>
  <c r="D181" i="38"/>
  <c r="L83" i="35"/>
  <c r="J27" i="37"/>
  <c r="M28" i="35"/>
  <c r="N353"/>
  <c r="N184"/>
  <c r="D333" i="38"/>
  <c r="D440"/>
  <c r="F55"/>
  <c r="F48"/>
  <c r="J432"/>
  <c r="N265" i="35"/>
  <c r="D125" i="38"/>
  <c r="J6" i="37"/>
  <c r="E345" i="38"/>
  <c r="E105"/>
  <c r="N289" i="35"/>
  <c r="E117" i="38"/>
  <c r="K31" i="35"/>
  <c r="M189"/>
  <c r="N258"/>
  <c r="O21" i="37"/>
  <c r="M320" i="35"/>
  <c r="M239"/>
  <c r="K434" i="38"/>
  <c r="M252" i="35"/>
  <c r="S23" i="37"/>
  <c r="L15"/>
  <c r="D59" i="38"/>
  <c r="D148"/>
  <c r="N198" i="35"/>
  <c r="N119"/>
  <c r="E214" i="38"/>
  <c r="K11" i="37"/>
  <c r="N15"/>
  <c r="M434" i="38"/>
  <c r="E434"/>
  <c r="E314"/>
  <c r="M165" i="35"/>
  <c r="N157"/>
  <c r="E3" i="38"/>
  <c r="D426"/>
  <c r="E398"/>
  <c r="D204"/>
  <c r="N228" i="35"/>
  <c r="N19" i="37"/>
  <c r="N252" i="35"/>
  <c r="D118" i="38"/>
  <c r="N352" i="35"/>
  <c r="E317" i="38"/>
  <c r="D422"/>
  <c r="M328" i="35"/>
  <c r="P17" i="37"/>
  <c r="N125" i="35"/>
  <c r="E204" i="38"/>
  <c r="R6" i="37"/>
  <c r="D335" i="38"/>
  <c r="F47"/>
  <c r="D377"/>
  <c r="N327" i="35"/>
  <c r="F52" i="38"/>
  <c r="N107" i="35"/>
  <c r="M105"/>
  <c r="E160" i="38"/>
  <c r="M271" i="35"/>
  <c r="E244" i="38"/>
  <c r="N27" i="35"/>
  <c r="N165"/>
  <c r="O23" i="37"/>
  <c r="M176" i="35"/>
  <c r="L107"/>
  <c r="L6"/>
  <c r="P14" i="37"/>
  <c r="L43" i="35"/>
  <c r="E394" i="38"/>
  <c r="M317" i="35"/>
  <c r="K33"/>
  <c r="K21" i="37"/>
  <c r="L13"/>
  <c r="N147" i="35"/>
  <c r="N74"/>
  <c r="M71"/>
  <c r="N266"/>
  <c r="G55" i="38"/>
  <c r="N155" i="35"/>
  <c r="N190"/>
  <c r="M318"/>
  <c r="L85"/>
  <c r="E249" i="38"/>
  <c r="D93"/>
  <c r="E384"/>
  <c r="E340"/>
  <c r="E195"/>
  <c r="E137"/>
  <c r="D220"/>
  <c r="E319"/>
  <c r="L103" i="35"/>
  <c r="D402" i="38"/>
  <c r="F443"/>
  <c r="N17" i="35"/>
  <c r="M204"/>
  <c r="E382" i="38"/>
  <c r="N312" i="35"/>
  <c r="K13" i="37"/>
  <c r="M19"/>
  <c r="H428" i="38"/>
  <c r="M80" i="35"/>
  <c r="L47"/>
  <c r="M151"/>
  <c r="G36" i="38"/>
  <c r="K62" i="35"/>
  <c r="D244" i="38"/>
  <c r="N105" i="35"/>
  <c r="N318"/>
  <c r="E177" i="38"/>
  <c r="M115" i="35"/>
  <c r="N280"/>
  <c r="N84"/>
  <c r="E63" i="38"/>
  <c r="D408"/>
  <c r="E70"/>
  <c r="F2"/>
  <c r="K3" i="37"/>
  <c r="J440" i="38"/>
  <c r="N57" i="35"/>
  <c r="E357" i="38"/>
  <c r="O14" i="37"/>
  <c r="G431" i="38"/>
  <c r="D140"/>
  <c r="N370" i="35"/>
  <c r="K441" i="38"/>
  <c r="N100" i="35"/>
  <c r="J443" i="38"/>
  <c r="M9" i="35"/>
  <c r="N197"/>
  <c r="K15"/>
  <c r="M265"/>
  <c r="M264"/>
  <c r="N429"/>
  <c r="M380"/>
  <c r="E364" i="38"/>
  <c r="N11" i="35"/>
  <c r="G430" i="38"/>
  <c r="D223"/>
  <c r="N416" i="35"/>
  <c r="N7" i="37"/>
  <c r="E283" i="38"/>
  <c r="K19" i="35"/>
  <c r="D190" i="38"/>
  <c r="D288"/>
  <c r="E191"/>
  <c r="M438" i="35"/>
  <c r="E402" i="38"/>
  <c r="D68"/>
  <c r="L99" i="35"/>
  <c r="N114"/>
  <c r="L4"/>
  <c r="N90"/>
  <c r="M127"/>
  <c r="M262"/>
  <c r="K32"/>
  <c r="E45" i="38"/>
  <c r="L93" i="35"/>
  <c r="M427"/>
  <c r="D191" i="38"/>
  <c r="E228"/>
  <c r="J7" i="37"/>
  <c r="L122" i="35"/>
  <c r="E332" i="38"/>
  <c r="N372" i="35"/>
  <c r="N153"/>
  <c r="N345"/>
  <c r="N134"/>
  <c r="N76"/>
  <c r="M338"/>
  <c r="D236" i="38"/>
  <c r="M175" i="35"/>
  <c r="N285"/>
  <c r="I421" i="38"/>
  <c r="G7"/>
  <c r="E258"/>
  <c r="E275"/>
  <c r="E219"/>
  <c r="N3" i="37"/>
  <c r="N179" i="35"/>
  <c r="N239"/>
  <c r="N290"/>
  <c r="N45"/>
  <c r="D73" i="38"/>
</calcChain>
</file>

<file path=xl/comments1.xml><?xml version="1.0" encoding="utf-8"?>
<comments xmlns="http://schemas.openxmlformats.org/spreadsheetml/2006/main">
  <authors>
    <author>Milan Grahovac</author>
  </authors>
  <commentList>
    <comment ref="B20" authorId="0">
      <text>
        <r>
          <rPr>
            <sz val="9"/>
            <color indexed="81"/>
            <rFont val="Tahoma"/>
            <family val="2"/>
          </rPr>
          <t>Službeni glasnik RS 59/22</t>
        </r>
      </text>
    </comment>
    <comment ref="B25" authorId="0">
      <text>
        <r>
          <rPr>
            <sz val="9"/>
            <color indexed="81"/>
            <rFont val="Tahoma"/>
            <family val="2"/>
          </rPr>
          <t>Službeni glasnik RS 59/22</t>
        </r>
      </text>
    </comment>
    <comment ref="B28" authorId="0">
      <text>
        <r>
          <rPr>
            <sz val="9"/>
            <color indexed="81"/>
            <rFont val="Tahoma"/>
            <family val="2"/>
          </rPr>
          <t>Službeni glasnik RS 63/16</t>
        </r>
      </text>
    </comment>
    <comment ref="B31" authorId="0">
      <text>
        <r>
          <rPr>
            <sz val="9"/>
            <color indexed="81"/>
            <rFont val="Tahoma"/>
            <family val="2"/>
          </rPr>
          <t>Službeni glasnik RS 59/22</t>
        </r>
      </text>
    </comment>
    <comment ref="B34" authorId="0">
      <text>
        <r>
          <rPr>
            <sz val="9"/>
            <color indexed="81"/>
            <rFont val="Tahoma"/>
            <family val="2"/>
          </rPr>
          <t>Službeni glasnik RS 62/16</t>
        </r>
      </text>
    </comment>
    <comment ref="B37" authorId="0">
      <text>
        <r>
          <rPr>
            <sz val="9"/>
            <color indexed="81"/>
            <rFont val="Tahoma"/>
            <family val="2"/>
          </rPr>
          <t>Službeni glasnik RS 59/22</t>
        </r>
      </text>
    </comment>
  </commentList>
</comments>
</file>

<file path=xl/comments2.xml><?xml version="1.0" encoding="utf-8"?>
<comments xmlns="http://schemas.openxmlformats.org/spreadsheetml/2006/main">
  <authors>
    <author>Milan Grahovac</author>
  </authors>
  <commentList>
    <comment ref="P17" author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3.xml><?xml version="1.0" encoding="utf-8"?>
<comments xmlns="http://schemas.openxmlformats.org/spreadsheetml/2006/main">
  <authors>
    <author>natasa</author>
  </authors>
  <commentList>
    <comment ref="J374" author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10" author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4.xml><?xml version="1.0" encoding="utf-8"?>
<comments xmlns="http://schemas.openxmlformats.org/spreadsheetml/2006/main">
  <authors>
    <author>Milan Grahovac</author>
  </authors>
  <commentList>
    <comment ref="Q2" author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D1" authorId="0">
      <text>
        <r>
          <rPr>
            <sz val="9"/>
            <color indexed="81"/>
            <rFont val="Tahoma"/>
            <family val="2"/>
          </rPr>
          <t>Kod decimalnih brojeva, tačka je separator (15.57).</t>
        </r>
      </text>
    </comment>
    <comment ref="E1" authorId="0">
      <text>
        <r>
          <rPr>
            <sz val="9"/>
            <color indexed="81"/>
            <rFont val="Tahoma"/>
            <family val="2"/>
          </rPr>
          <t>Kod decimalnih brojeva, tačka je separator (15.57).</t>
        </r>
      </text>
    </comment>
  </commentList>
</comments>
</file>

<file path=xl/sharedStrings.xml><?xml version="1.0" encoding="utf-8"?>
<sst xmlns="http://schemas.openxmlformats.org/spreadsheetml/2006/main" count="4759" uniqueCount="3058">
  <si>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</si>
  <si>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</si>
  <si>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</si>
  <si>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</si>
  <si>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</si>
  <si>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t xml:space="preserve">AOP 316 (kolona 4, odnosno 5) = AOP 126 (kolona 4, odnosno 5). </t>
    </r>
    <r>
      <rPr>
        <sz val="9"/>
        <rFont val="Calibri"/>
        <family val="2"/>
      </rPr>
      <t>U pojedinim slučajevima (međudividenda i sl.) je dozvoljena razlika.</t>
    </r>
  </si>
  <si>
    <r>
      <t xml:space="preserve">AOP 317 (kolona 4, odnosno 5) = AOP 130 (kolona 4, odnosno 5). </t>
    </r>
    <r>
      <rPr>
        <sz val="9"/>
        <rFont val="Calibri"/>
        <family val="2"/>
      </rPr>
      <t>U pojedinim slučajevima (međudividenda i sl.) je dozvoljena razlika.</t>
    </r>
  </si>
  <si>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</si>
  <si>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</si>
  <si>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</si>
  <si>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</si>
  <si>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</si>
  <si>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</si>
  <si>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</si>
  <si>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</si>
  <si>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</si>
  <si>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</si>
  <si>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</si>
  <si>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</si>
  <si>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</si>
  <si>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Dok APIF to ne omogući možete ručno unijeti pozicije iz Promjena na kapitalu u FIA aplikaciju.</t>
  </si>
  <si>
    <t>Napomena: Trenutno APIF ne podržava automatski import pozicija iz Promjena na kapitalu.</t>
  </si>
  <si>
    <t>Ostale bilanse možete unijeti u FIA aplikaciju prema gore opisanoj proceduri.</t>
  </si>
  <si>
    <t>RUDNICI ŽELJEZNE RUDE LJUBIJA AD PRIJEDOR</t>
  </si>
  <si>
    <t>PRIJEDOR</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</si>
  <si>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</si>
  <si>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</si>
  <si>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</si>
  <si>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</si>
  <si>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</si>
  <si>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</si>
  <si>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</si>
  <si>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</si>
  <si>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</si>
  <si>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</si>
  <si>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</si>
  <si>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</si>
  <si>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</si>
  <si>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</si>
  <si>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</si>
  <si>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 xml:space="preserve">AOP 066 (kolona 6, odnosno 7) = AOP 169 (kolona 5, odnosno 6) </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</si>
  <si>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</si>
  <si>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</si>
  <si>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</si>
  <si>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</si>
  <si>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</si>
  <si>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</si>
  <si>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</si>
  <si>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</si>
  <si>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</si>
  <si>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</si>
  <si>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</si>
  <si>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</si>
  <si>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</si>
  <si>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</si>
  <si>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</si>
  <si>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</si>
  <si>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</si>
  <si>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</si>
  <si>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</si>
  <si>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</si>
  <si>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</si>
  <si>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</si>
  <si>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</si>
  <si>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</si>
  <si>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</si>
  <si>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</si>
  <si>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</si>
  <si>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</si>
  <si>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</si>
  <si>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</si>
  <si>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</si>
  <si>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</si>
  <si>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</si>
  <si>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</si>
  <si>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</si>
  <si>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</si>
  <si>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</si>
  <si>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</si>
  <si>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</si>
  <si>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</si>
  <si>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</si>
  <si>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</si>
  <si>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</si>
  <si>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</si>
  <si>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</si>
  <si>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</si>
  <si>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</si>
  <si>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</si>
  <si>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</si>
  <si>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</si>
  <si>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</si>
  <si>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</si>
  <si>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</si>
  <si>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</si>
  <si>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</si>
  <si>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</si>
  <si>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</si>
  <si>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</si>
  <si>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</si>
  <si>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</si>
  <si>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</si>
  <si>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</si>
  <si>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</si>
  <si>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</si>
  <si>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</si>
  <si>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</si>
  <si>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</si>
  <si>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</si>
  <si>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</si>
  <si>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</si>
  <si>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</si>
  <si>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</si>
  <si>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</si>
  <si>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</si>
  <si>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</si>
  <si>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</si>
  <si>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</si>
  <si>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</si>
  <si>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</si>
  <si>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</si>
  <si>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</si>
  <si>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</si>
  <si>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</si>
  <si>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</si>
  <si>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</si>
  <si>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</si>
  <si>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</si>
  <si>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</si>
  <si>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</si>
  <si>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</si>
  <si>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</si>
  <si>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</si>
  <si>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</si>
  <si>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</si>
  <si>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</si>
  <si>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</si>
  <si>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</si>
  <si>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</si>
  <si>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</si>
  <si>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</si>
  <si>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</si>
  <si>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</si>
  <si>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</si>
  <si>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</si>
  <si>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</si>
  <si>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</si>
  <si>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</si>
  <si>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</si>
  <si>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</si>
  <si>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</si>
  <si>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</si>
  <si>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</si>
  <si>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</si>
  <si>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</si>
  <si>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</si>
  <si>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</si>
  <si>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</si>
  <si>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</si>
  <si>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</si>
  <si>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</si>
  <si>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</si>
  <si>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</si>
  <si>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</si>
  <si>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</si>
  <si>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</si>
  <si>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</si>
  <si>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</si>
  <si>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</si>
  <si>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</si>
  <si>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</si>
  <si>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</si>
  <si>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</si>
  <si>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</si>
  <si>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</si>
  <si>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</si>
  <si>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</si>
  <si>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</si>
  <si>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</si>
  <si>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</si>
  <si>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</si>
  <si>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</si>
  <si>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</si>
  <si>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</si>
  <si>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</si>
  <si>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</si>
  <si>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</si>
  <si>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</si>
  <si>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</si>
  <si>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</si>
  <si>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</si>
  <si>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</si>
  <si>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</si>
  <si>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</si>
  <si>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</si>
  <si>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</si>
  <si>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</si>
  <si>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</si>
  <si>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Revalorizacione rezerve za finansijska sredstva vrednovana po fer vrijednosti krozu ostali ukupni rezultat</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</si>
  <si>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</si>
  <si>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</si>
  <si>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</si>
  <si>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</si>
  <si>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</si>
  <si>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</si>
  <si>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</si>
  <si>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</si>
  <si>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</si>
  <si>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</si>
  <si>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</si>
  <si>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</si>
  <si>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</si>
  <si>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15. Efekti ispravke grešaka</t>
  </si>
  <si>
    <t>17. Dobit/(gubitak) za godinu</t>
  </si>
  <si>
    <t>18. Ostali ukupni rezultatat</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</si>
  <si>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</si>
  <si>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</si>
  <si>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</si>
  <si>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</si>
  <si>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</si>
  <si>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</si>
  <si>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</si>
  <si>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</si>
  <si>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</si>
  <si>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</si>
  <si>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</si>
  <si>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</si>
  <si>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</si>
  <si>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</si>
  <si>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</si>
  <si>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</si>
  <si>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</si>
  <si>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</si>
  <si>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</si>
  <si>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UDJELI KOJI NEMAJU KONTROLU (MANJINSKI INTERES)</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</si>
  <si>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</si>
  <si>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</si>
  <si>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</si>
  <si>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</si>
  <si>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</si>
  <si>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</si>
  <si>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</si>
  <si>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</si>
  <si>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</si>
  <si>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15. Ефекти исправке грешака</t>
  </si>
  <si>
    <t>17. Добит/(губитак) за годину</t>
  </si>
  <si>
    <t>18. Остали укупни резултатат</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</si>
  <si>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</si>
  <si>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</si>
  <si>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</si>
  <si>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</si>
  <si>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</si>
  <si>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</si>
  <si>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</si>
  <si>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</si>
  <si>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</si>
  <si>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</si>
  <si>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</si>
  <si>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</si>
  <si>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</si>
  <si>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</si>
  <si>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</si>
  <si>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</si>
  <si>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</si>
  <si>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</si>
  <si>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</si>
  <si>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</si>
  <si>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</si>
  <si>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</si>
  <si>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</si>
  <si>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</si>
  <si>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</si>
  <si>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</si>
  <si>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</si>
  <si>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</si>
  <si>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</si>
  <si>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</si>
  <si>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</si>
  <si>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</si>
  <si>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</si>
  <si>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</si>
  <si>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</si>
  <si>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</si>
  <si>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</si>
  <si>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 xml:space="preserve">AOP 067 (kolona 6, odnosno 7) = AOP 170 (kolona 4, odnosno 5) </t>
  </si>
  <si>
    <t>AOP 568 (kolona 3, odnosno 4) = AOP 056 (kolona 6, odnosno 7).</t>
  </si>
  <si>
    <t>Ako je AOP 101 (kolona 5) &gt; 0, onda je AOP 913 (kolona 8) = AOP 101 (kolona 6).</t>
  </si>
  <si>
    <t>Ako je AOP 101 (kolona 5) &gt; 0, onda je AOP 925 (kolona 8) = AOP 101 (kolona 5).</t>
  </si>
  <si>
    <t>ld</t>
  </si>
  <si>
    <t>061, dio 069</t>
  </si>
  <si>
    <t>061, part 069</t>
  </si>
  <si>
    <t>29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</si>
  <si>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</si>
  <si>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</si>
  <si>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</si>
  <si>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</si>
  <si>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</si>
  <si>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</si>
  <si>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</si>
  <si>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</si>
  <si>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</si>
  <si>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</si>
  <si>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</si>
  <si>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</si>
  <si>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</si>
  <si>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</si>
  <si>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</si>
  <si>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</si>
  <si>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</si>
  <si>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</si>
  <si>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</si>
  <si>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</si>
  <si>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</si>
  <si>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</si>
  <si>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</si>
  <si>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</si>
  <si>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</si>
  <si>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</si>
  <si>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</si>
  <si>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</si>
  <si>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</si>
  <si>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</si>
  <si>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</si>
  <si>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</si>
  <si>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</si>
  <si>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</si>
  <si>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</si>
  <si>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 xml:space="preserve">18. Other total result </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</si>
  <si>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</si>
  <si>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</si>
  <si>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</si>
  <si>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</si>
  <si>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</si>
  <si>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</si>
  <si>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</si>
  <si>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</si>
  <si>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</si>
  <si>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</si>
  <si>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</si>
  <si>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</si>
  <si>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</si>
  <si>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</si>
  <si>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</si>
  <si>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</si>
  <si>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</si>
  <si>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</si>
  <si>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</si>
  <si>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</si>
  <si>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</si>
  <si>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</si>
  <si>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</si>
  <si>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</si>
  <si>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</si>
  <si>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</si>
  <si>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</si>
  <si>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</si>
  <si>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</si>
  <si>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</si>
  <si>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</si>
  <si>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</si>
  <si>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</si>
  <si>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</si>
  <si>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</si>
  <si>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</si>
  <si>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</si>
  <si>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</si>
  <si>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</si>
  <si>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</si>
  <si>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</si>
  <si>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</si>
  <si>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</si>
  <si>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</si>
  <si>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</si>
  <si>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</si>
  <si>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</si>
  <si>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</si>
  <si>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</si>
  <si>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</si>
  <si>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</si>
  <si>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</si>
  <si>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</si>
  <si>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</si>
  <si>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</si>
  <si>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</si>
  <si>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</si>
  <si>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</si>
  <si>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</si>
  <si>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</si>
  <si>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</si>
  <si>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</si>
  <si>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</si>
  <si>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</si>
  <si>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</si>
  <si>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</si>
  <si>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</si>
  <si>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</si>
  <si>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</si>
  <si>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</si>
  <si>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</si>
  <si>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</si>
  <si>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</si>
  <si>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</si>
  <si>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</si>
  <si>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</si>
  <si>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</si>
  <si>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</si>
  <si>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</si>
  <si>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</si>
  <si>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</si>
  <si>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</si>
  <si>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</si>
  <si>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</si>
  <si>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</si>
  <si>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</si>
  <si>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</si>
  <si>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</si>
  <si>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</si>
  <si>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</si>
  <si>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</si>
  <si>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</si>
  <si>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</si>
  <si>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</si>
  <si>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</si>
  <si>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</si>
  <si>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460 to 468</t>
  </si>
  <si>
    <t>49, except 496</t>
  </si>
  <si>
    <t>dio 33</t>
  </si>
  <si>
    <t>340 или 342</t>
  </si>
  <si>
    <t>341 или 343</t>
  </si>
  <si>
    <t>dio 40</t>
  </si>
  <si>
    <t>401, 402, 403, dio 409</t>
  </si>
  <si>
    <t>dio 409, 410, 419</t>
  </si>
  <si>
    <t>421 do 424</t>
  </si>
  <si>
    <t>425 i 426</t>
  </si>
  <si>
    <t>460 do 468</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</si>
  <si>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</si>
  <si>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</si>
  <si>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</si>
  <si>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</si>
  <si>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</si>
  <si>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</si>
  <si>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</si>
  <si>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</si>
  <si>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</si>
  <si>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</si>
  <si>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</si>
  <si>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</si>
  <si>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</si>
  <si>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</si>
  <si>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</si>
  <si>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</si>
  <si>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</si>
  <si>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</si>
  <si>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</si>
  <si>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</si>
  <si>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</si>
  <si>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</si>
  <si>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</si>
  <si>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</si>
  <si>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</si>
  <si>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</si>
  <si>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</si>
  <si>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</si>
  <si>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</si>
  <si>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</si>
  <si>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</si>
  <si>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</si>
  <si>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</si>
  <si>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</si>
  <si>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</si>
  <si>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</si>
  <si>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</si>
  <si>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</si>
  <si>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</si>
  <si>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</si>
  <si>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</si>
  <si>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</si>
  <si>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</si>
  <si>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</si>
  <si>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</si>
  <si>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</si>
  <si>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</si>
  <si>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</si>
  <si>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</si>
  <si>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</si>
  <si>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</si>
  <si>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</si>
  <si>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</si>
  <si>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</si>
  <si>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</si>
  <si>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</si>
  <si>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</si>
  <si>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</si>
  <si>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</si>
  <si>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</si>
  <si>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</si>
  <si>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</si>
  <si>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</si>
  <si>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</si>
  <si>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</si>
  <si>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</si>
  <si>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</si>
  <si>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</si>
  <si>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РАСХОДЫ НА ПРОИЗВОДСТВЕННЫЕ УСЛУГИ (640+641+642+643+644+645+646+647)</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</si>
  <si>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</si>
  <si>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</si>
  <si>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</si>
  <si>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</si>
  <si>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</si>
  <si>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</si>
  <si>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</si>
  <si>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</si>
  <si>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</si>
  <si>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НЕМАТЕРИАЛЬНЫЕ РАСХОДЫ (650 + 653 + 654 + 655 + 656 + 657 + 658 + 659)</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</si>
  <si>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</si>
  <si>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</si>
  <si>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</si>
  <si>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</si>
  <si>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</si>
  <si>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</si>
  <si>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Расходы по налогам на продукцию, тамож. расходы, жилищный налог, налог на лотерею и т.п.</t>
  </si>
  <si>
    <t>Расходы по налогам на производство: на имущество, землю, использование леса, воды, противопожарную защиту и т.п.</t>
  </si>
  <si>
    <t>201, часть 200</t>
  </si>
  <si>
    <t>202, часть 200</t>
  </si>
  <si>
    <t>203, часть 200</t>
  </si>
  <si>
    <t>432, часть 431</t>
  </si>
  <si>
    <t>433, часть 431</t>
  </si>
  <si>
    <t>434, часть 431</t>
  </si>
  <si>
    <t>601, часть 600</t>
  </si>
  <si>
    <t>602, часть 600</t>
  </si>
  <si>
    <t>603, часть 600</t>
  </si>
  <si>
    <t xml:space="preserve"> часть 61</t>
  </si>
  <si>
    <t>611, часть 610</t>
  </si>
  <si>
    <t>612, часть 610</t>
  </si>
  <si>
    <t>613, часть 610</t>
  </si>
  <si>
    <t>часть 611</t>
  </si>
  <si>
    <t>часть 612</t>
  </si>
  <si>
    <t>часть 613</t>
  </si>
  <si>
    <t>часть 650</t>
  </si>
  <si>
    <t>часть 660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</si>
  <si>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</si>
  <si>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</si>
  <si>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</si>
  <si>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</si>
  <si>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</si>
  <si>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</si>
  <si>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</si>
  <si>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</si>
  <si>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</si>
  <si>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</si>
  <si>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</si>
  <si>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</si>
  <si>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</si>
  <si>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</si>
  <si>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</si>
  <si>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</si>
  <si>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</si>
  <si>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</si>
  <si>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</si>
  <si>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</si>
  <si>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</si>
  <si>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</si>
  <si>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</si>
  <si>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</si>
  <si>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</si>
  <si>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</si>
  <si>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</si>
  <si>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</si>
  <si>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</si>
  <si>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</si>
  <si>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</si>
  <si>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</si>
  <si>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</si>
  <si>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</si>
  <si>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</si>
  <si>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</si>
  <si>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</si>
  <si>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</si>
  <si>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2. Concessions, patents, licenses and similar rights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</si>
  <si>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</si>
  <si>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</si>
  <si>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</si>
  <si>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</si>
  <si>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</si>
  <si>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</si>
  <si>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</si>
  <si>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</si>
  <si>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</si>
  <si>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</si>
  <si>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</si>
  <si>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</si>
  <si>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</si>
  <si>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</si>
  <si>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</si>
  <si>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</si>
  <si>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</si>
  <si>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</si>
  <si>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</si>
  <si>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</si>
  <si>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</si>
  <si>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</si>
  <si>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</si>
  <si>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</si>
  <si>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</si>
  <si>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</si>
  <si>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</si>
  <si>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</si>
  <si>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</si>
  <si>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</si>
  <si>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</si>
  <si>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</si>
  <si>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</si>
  <si>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</si>
  <si>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c) Prihod od donacija</t>
  </si>
  <si>
    <t>d) Prihod od članarina</t>
  </si>
  <si>
    <t>e) Prihod od tantijema i licencnih prava</t>
  </si>
  <si>
    <t>f) Prihod iz namjenskih izvora finansiranja (iz budžeta, fondova i dr.)</t>
  </si>
  <si>
    <t>g) Ostali poslovni prihodi po drugim osnovima</t>
  </si>
  <si>
    <t>Приходи по основу уговорене заштите од ризика који не испуњавају услове да се искажу у оквиру ревалоризационих резерви</t>
  </si>
  <si>
    <t>Income from contractually agreed risk protection that do not meet the requirements to be reported within revaluation reserves</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</si>
  <si>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</si>
  <si>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</si>
  <si>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</si>
  <si>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</si>
  <si>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</si>
  <si>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</si>
  <si>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SR -0054/22</t>
  </si>
  <si>
    <t>Prijedoru</t>
  </si>
  <si>
    <t>Petrašin Rodić,dipl.ecc</t>
  </si>
  <si>
    <t>Stanko Vujković,dipl.ing.maš.</t>
  </si>
  <si>
    <t>Jovana Raškovića br. 1. Prijedor</t>
  </si>
  <si>
    <t>www.rzrljubija.com</t>
  </si>
  <si>
    <t>rzrkont@teol.net</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</si>
  <si>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</si>
  <si>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</si>
  <si>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</si>
  <si>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</si>
  <si>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</si>
  <si>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</si>
  <si>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</si>
  <si>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</si>
  <si>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</si>
  <si>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</si>
  <si>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</si>
  <si>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</si>
  <si>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</si>
  <si>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</si>
  <si>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</si>
  <si>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</si>
  <si>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</si>
  <si>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</si>
  <si>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</si>
  <si>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</si>
  <si>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</si>
  <si>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</si>
  <si>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</si>
  <si>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</si>
  <si>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</si>
  <si>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</si>
  <si>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</si>
  <si>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</si>
  <si>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</si>
  <si>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</si>
  <si>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</si>
  <si>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</si>
  <si>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</si>
  <si>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</si>
  <si>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</si>
  <si>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</si>
  <si>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</si>
  <si>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</si>
  <si>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</si>
  <si>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</si>
  <si>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</si>
  <si>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</si>
  <si>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</si>
  <si>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</si>
  <si>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</si>
  <si>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</si>
  <si>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</si>
  <si>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</si>
  <si>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</si>
  <si>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</si>
  <si>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</si>
  <si>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</si>
  <si>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</si>
  <si>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</si>
  <si>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</si>
  <si>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</si>
  <si>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</si>
  <si>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</si>
  <si>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</si>
  <si>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</si>
  <si>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</si>
  <si>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</si>
  <si>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</si>
  <si>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</si>
  <si>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</si>
  <si>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</si>
  <si>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</si>
  <si>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</si>
  <si>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</si>
  <si>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</si>
  <si>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</si>
  <si>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</si>
  <si>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</si>
  <si>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</si>
  <si>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</si>
  <si>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</si>
  <si>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</si>
  <si>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</si>
  <si>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</si>
  <si>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</si>
  <si>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</si>
  <si>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</si>
  <si>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</si>
  <si>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</si>
  <si>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</si>
  <si>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</si>
  <si>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</si>
  <si>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</si>
  <si>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</si>
  <si>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</si>
  <si>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</si>
  <si>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</si>
  <si>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</si>
  <si>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</si>
  <si>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</si>
  <si>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</si>
  <si>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</si>
  <si>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</si>
  <si>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</si>
  <si>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</si>
  <si>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</si>
  <si>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</si>
  <si>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</si>
  <si>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</si>
  <si>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</si>
  <si>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</si>
  <si>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</si>
  <si>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</si>
  <si>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</si>
  <si>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</si>
  <si>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</si>
  <si>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</si>
  <si>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</si>
  <si>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</si>
  <si>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</si>
  <si>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</si>
  <si>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</si>
  <si>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</si>
  <si>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</si>
  <si>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</si>
  <si>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</si>
  <si>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</si>
  <si>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</si>
  <si>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</si>
  <si>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</si>
  <si>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</si>
  <si>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</si>
  <si>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</si>
  <si>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</si>
  <si>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</si>
  <si>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</si>
  <si>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</si>
  <si>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</si>
  <si>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</si>
  <si>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</si>
  <si>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</si>
  <si>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</si>
  <si>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</si>
  <si>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</si>
  <si>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</si>
  <si>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</si>
  <si>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</si>
  <si>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</si>
  <si>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</si>
  <si>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</si>
  <si>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</si>
  <si>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</si>
  <si>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</si>
  <si>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</si>
  <si>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</si>
  <si>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</si>
  <si>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</si>
  <si>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</si>
  <si>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</si>
  <si>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</si>
  <si>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</si>
  <si>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</si>
  <si>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</si>
  <si>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</si>
  <si>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</si>
  <si>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</si>
  <si>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</si>
  <si>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</si>
  <si>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</si>
  <si>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</si>
  <si>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</si>
  <si>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</si>
  <si>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</si>
  <si>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</si>
  <si>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</si>
  <si>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</si>
  <si>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</si>
  <si>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</si>
  <si>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</si>
  <si>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</si>
  <si>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</si>
  <si>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</si>
  <si>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Ревалоризационе резерве за финансијска средства вреднована по фер вриједности крозу остали укупни резултат</t>
  </si>
  <si>
    <t>Остале ревалоризационе резерве</t>
  </si>
  <si>
    <t>Акумулирана нераспоређена добит/(непокривени губитак)</t>
  </si>
  <si>
    <t>УДЈЕЛИ КОЈИ НЕМАЈУ КОНТРОЛУ (МАЊИНСКИ ИНТЕРЕС)</t>
  </si>
  <si>
    <t>УКУПНИ КАПИТАЛ_x000D_
(10+11)</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</si>
  <si>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</si>
  <si>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</si>
  <si>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</si>
  <si>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</si>
  <si>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</si>
  <si>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</si>
  <si>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</si>
  <si>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</si>
  <si>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</si>
  <si>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</si>
  <si>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</si>
  <si>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</si>
  <si>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</si>
  <si>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</si>
  <si>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</si>
  <si>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</si>
  <si>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</si>
  <si>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</si>
  <si>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</si>
  <si>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</si>
  <si>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</si>
  <si>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</si>
  <si>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</si>
  <si>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</si>
  <si>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</si>
  <si>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</si>
  <si>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</si>
  <si>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</si>
  <si>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</si>
  <si>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</si>
  <si>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</si>
  <si>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</si>
  <si>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</si>
  <si>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</si>
  <si>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</si>
  <si>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</si>
  <si>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</si>
  <si>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</si>
  <si>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</si>
  <si>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</si>
  <si>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460 до 468</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</si>
  <si>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</si>
  <si>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</si>
  <si>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</si>
  <si>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</si>
  <si>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</si>
  <si>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</si>
  <si>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</si>
  <si>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</si>
  <si>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</si>
  <si>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</si>
  <si>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</si>
  <si>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</si>
  <si>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</si>
  <si>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</si>
  <si>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</si>
  <si>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</si>
  <si>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</si>
  <si>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</si>
  <si>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</si>
  <si>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</si>
  <si>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</si>
  <si>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</si>
  <si>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</si>
  <si>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</si>
  <si>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</si>
  <si>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</si>
  <si>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</si>
  <si>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</si>
  <si>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</si>
  <si>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</si>
  <si>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</si>
  <si>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</si>
  <si>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</si>
  <si>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</si>
  <si>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</si>
  <si>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</si>
  <si>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</si>
  <si>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</si>
  <si>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</si>
  <si>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</si>
  <si>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</si>
  <si>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</si>
  <si>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</si>
  <si>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</si>
  <si>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</si>
  <si>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</si>
  <si>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</si>
  <si>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</si>
  <si>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</si>
  <si>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</si>
  <si>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</si>
  <si>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</si>
  <si>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</si>
  <si>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</si>
  <si>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</si>
  <si>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</si>
  <si>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indexed="8"/>
        <rFont val="Calibri"/>
        <family val="2"/>
      </rPr>
      <t>±</t>
    </r>
    <r>
      <rPr>
        <sz val="10"/>
        <color indexed="8"/>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</si>
  <si>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</si>
  <si>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</si>
  <si>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</si>
  <si>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</si>
  <si>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</si>
  <si>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</si>
  <si>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</si>
  <si>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</si>
  <si>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</si>
  <si>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</si>
  <si>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</si>
  <si>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</si>
  <si>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</si>
  <si>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</si>
  <si>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</si>
  <si>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</si>
  <si>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</si>
  <si>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</si>
  <si>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</si>
  <si>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</si>
  <si>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</si>
  <si>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</si>
  <si>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</si>
  <si>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</si>
  <si>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</si>
  <si>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</si>
  <si>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</si>
  <si>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</si>
  <si>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</si>
  <si>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</si>
  <si>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</si>
  <si>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</si>
  <si>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</si>
  <si>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</si>
  <si>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</si>
  <si>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</si>
  <si>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</si>
  <si>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</si>
  <si>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</si>
  <si>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</si>
  <si>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</si>
  <si>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</si>
  <si>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</si>
  <si>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</si>
  <si>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</si>
  <si>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</si>
  <si>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</si>
  <si>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</si>
  <si>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</si>
  <si>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</si>
  <si>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</si>
  <si>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</si>
  <si>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</si>
  <si>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</si>
  <si>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</si>
  <si>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</si>
  <si>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</si>
  <si>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</si>
  <si>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</si>
  <si>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</si>
  <si>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</si>
  <si>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</si>
  <si>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</si>
  <si>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</si>
  <si>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</si>
  <si>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</si>
  <si>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</si>
  <si>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</si>
  <si>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</si>
  <si>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</si>
  <si>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</si>
  <si>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</si>
  <si>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</si>
  <si>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</si>
  <si>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</si>
  <si>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</si>
  <si>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</si>
  <si>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</si>
  <si>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</si>
  <si>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</si>
  <si>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</si>
  <si>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</si>
  <si>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</si>
  <si>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</si>
  <si>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</si>
  <si>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</si>
  <si>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</si>
  <si>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</si>
  <si>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</si>
  <si>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</si>
  <si>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</si>
  <si>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</si>
  <si>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</si>
  <si>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</si>
  <si>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</si>
  <si>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</si>
  <si>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</si>
  <si>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</si>
  <si>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</si>
  <si>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</si>
  <si>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</si>
  <si>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</si>
  <si>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</si>
  <si>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</si>
  <si>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</si>
  <si>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</si>
  <si>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</si>
  <si>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</si>
  <si>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</si>
  <si>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</si>
  <si>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</si>
  <si>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</si>
  <si>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</si>
  <si>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</si>
  <si>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</si>
  <si>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</si>
  <si>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</si>
  <si>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</si>
  <si>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</si>
  <si>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</si>
  <si>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</si>
  <si>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</si>
  <si>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</si>
  <si>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</si>
  <si>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</si>
  <si>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</si>
  <si>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</si>
  <si>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</si>
  <si>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</si>
  <si>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</si>
  <si>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</si>
  <si>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582, 682</t>
  </si>
  <si>
    <t>583, 683</t>
  </si>
  <si>
    <t>588, дио 589, 688, дио 689</t>
  </si>
  <si>
    <t>584, 684</t>
  </si>
  <si>
    <t>586, 686</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</si>
  <si>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</si>
  <si>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</si>
  <si>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</si>
  <si>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</si>
  <si>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</si>
  <si>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</si>
  <si>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</si>
  <si>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</si>
  <si>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</si>
  <si>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</si>
  <si>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</si>
  <si>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</si>
  <si>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</si>
  <si>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</si>
  <si>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</si>
  <si>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</si>
  <si>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</si>
  <si>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</si>
  <si>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</si>
  <si>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</si>
  <si>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</si>
  <si>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</si>
  <si>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</si>
  <si>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</si>
  <si>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</si>
  <si>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</si>
  <si>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</si>
  <si>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</si>
  <si>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</si>
  <si>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</si>
  <si>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</si>
  <si>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</si>
  <si>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</si>
  <si>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</si>
  <si>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</si>
  <si>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</si>
  <si>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</si>
  <si>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</si>
  <si>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</si>
  <si>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</si>
  <si>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</si>
  <si>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</si>
  <si>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</si>
  <si>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</si>
  <si>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</si>
  <si>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</si>
  <si>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</si>
  <si>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</si>
  <si>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</si>
  <si>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</si>
  <si>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</si>
  <si>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</si>
  <si>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</si>
  <si>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</si>
  <si>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</si>
  <si>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</si>
  <si>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</si>
  <si>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</si>
  <si>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</si>
  <si>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</si>
  <si>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</si>
  <si>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</si>
  <si>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</si>
  <si>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</si>
  <si>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</si>
  <si>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</si>
  <si>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</si>
  <si>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</si>
  <si>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</si>
  <si>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</si>
  <si>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</si>
  <si>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</si>
  <si>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</si>
  <si>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</si>
  <si>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</si>
  <si>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</si>
  <si>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</si>
  <si>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</si>
  <si>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</si>
  <si>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</si>
  <si>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</si>
  <si>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</si>
  <si>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</si>
  <si>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</si>
  <si>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</si>
  <si>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</si>
  <si>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</si>
  <si>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</si>
  <si>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</si>
  <si>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</si>
  <si>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</si>
  <si>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</si>
  <si>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</si>
  <si>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</si>
  <si>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</si>
  <si>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</si>
  <si>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</si>
  <si>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</si>
  <si>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</si>
  <si>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</si>
  <si>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</si>
  <si>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</si>
  <si>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</si>
  <si>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</si>
  <si>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</si>
  <si>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</si>
  <si>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</si>
  <si>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</si>
  <si>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</si>
  <si>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</si>
  <si>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</si>
  <si>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</si>
  <si>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</si>
  <si>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</si>
  <si>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</si>
  <si>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</si>
  <si>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</si>
  <si>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</si>
  <si>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</si>
  <si>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</si>
  <si>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</si>
  <si>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</si>
  <si>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</si>
  <si>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</si>
  <si>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</si>
  <si>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</si>
  <si>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</si>
  <si>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</si>
  <si>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</si>
  <si>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</si>
  <si>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</si>
  <si>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Доходы от продажи услуг в Федерации БиГ</t>
  </si>
  <si>
    <t>Доходы от продажи услуг в Округе Брчко</t>
  </si>
  <si>
    <t>ПРОЧИЕ ОПЕРАЦИОННЫЕ ДОХОДЫ (620 + 623 + 624 + 625 + 626 + 627 + 628)</t>
  </si>
  <si>
    <t>а) Доходы от премий, субсидий, дотаций, 13-ой заработной платы, стимуляций и прочего</t>
  </si>
  <si>
    <t xml:space="preserve"> В том числе: доходы от субсидий на продукцию (субсидии, которые могут отображаться по единице продукции, например, проездной билет, мука, хлеб, молоко и т.д.)</t>
  </si>
  <si>
    <t xml:space="preserve"> Доходы от субсидий на производство (на трудоустройство, заработную плату, процентные ставки, на уменьшение загрязнения и т.д.)</t>
  </si>
  <si>
    <t>б) Доходы от аренды</t>
  </si>
  <si>
    <t>в) Доходы от дотаций</t>
  </si>
  <si>
    <t>г) Доход от членских взносов</t>
  </si>
  <si>
    <t>д) Доход от тантьем и лицензионных прав</t>
  </si>
  <si>
    <t>е) Доходы от целевых источников финансирования (из бюджета, фондов и т.п.)</t>
  </si>
  <si>
    <t>ж) Прочие операционные доходы по иным основаниям</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</si>
  <si>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</si>
  <si>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</si>
  <si>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</si>
  <si>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Доходы на основании договоренной защиты от рисков, которые не выполняют условия для отражения в рамках переоценочных</t>
  </si>
  <si>
    <t>РАСХОДЫ НА МАТЕРИАЛ</t>
  </si>
  <si>
    <t>В том числе: расходы на топливо и электроэнергию</t>
  </si>
  <si>
    <t>РАСХОДЫ НА ЗАРАБОТНЫЕ ПЛАТЫ, ВОЗМЕЩЕНИЯ И ПРОЧИЕ ИНДИВИДУАЛЬНЫЕ ВЫПЛАТЫ</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</si>
  <si>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</si>
  <si>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</si>
  <si>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</si>
  <si>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</si>
  <si>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</si>
  <si>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</si>
  <si>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</si>
  <si>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</si>
  <si>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</si>
  <si>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</si>
  <si>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</si>
  <si>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</si>
  <si>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</si>
  <si>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</si>
  <si>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</si>
  <si>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</si>
  <si>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</si>
  <si>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</si>
  <si>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</si>
  <si>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</si>
  <si>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</si>
  <si>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</si>
  <si>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</si>
  <si>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</si>
  <si>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</si>
  <si>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</si>
  <si>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</si>
  <si>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</si>
  <si>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</si>
  <si>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</si>
  <si>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</si>
  <si>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</si>
  <si>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</si>
  <si>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</si>
  <si>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</si>
  <si>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</si>
  <si>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</si>
  <si>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</si>
  <si>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</si>
  <si>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</si>
  <si>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</si>
  <si>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</si>
  <si>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</si>
  <si>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</si>
  <si>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</si>
  <si>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</si>
  <si>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</si>
  <si>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</si>
  <si>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</si>
  <si>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</si>
  <si>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</si>
  <si>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</si>
  <si>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</si>
  <si>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</si>
  <si>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</si>
  <si>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</si>
  <si>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</si>
  <si>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</si>
  <si>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исплата зарада, накнада зарада и осталих личних расхода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</si>
  <si>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</si>
  <si>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</si>
  <si>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</si>
  <si>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</si>
  <si>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</si>
  <si>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</si>
  <si>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</si>
  <si>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</si>
  <si>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</si>
  <si>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</si>
  <si>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</si>
  <si>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</si>
  <si>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</si>
  <si>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</si>
  <si>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</si>
  <si>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</si>
  <si>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</si>
  <si>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</si>
  <si>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</si>
  <si>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</si>
  <si>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</si>
  <si>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</si>
  <si>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</si>
  <si>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</si>
  <si>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</si>
  <si>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</si>
  <si>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</si>
  <si>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isplata zarada, naknada zarada i ostalih ličnih rashoda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</si>
  <si>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</si>
  <si>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</si>
  <si>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</si>
  <si>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</si>
  <si>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</si>
  <si>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</si>
  <si>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</si>
  <si>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</si>
  <si>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</si>
  <si>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</si>
  <si>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</si>
  <si>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</si>
  <si>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</si>
  <si>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</si>
  <si>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</si>
  <si>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</si>
  <si>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</si>
  <si>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</si>
  <si>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</si>
  <si>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</si>
  <si>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</si>
  <si>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</si>
  <si>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</si>
  <si>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</si>
  <si>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</si>
  <si>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</si>
  <si>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</si>
  <si>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</si>
  <si>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</si>
  <si>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</si>
  <si>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</si>
  <si>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</si>
  <si>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</si>
  <si>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</si>
  <si>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</si>
  <si>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</si>
  <si>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</si>
  <si>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</si>
  <si>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</si>
  <si>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</si>
  <si>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</si>
  <si>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</si>
  <si>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</si>
  <si>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</si>
  <si>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</si>
  <si>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</si>
  <si>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</si>
  <si>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</si>
  <si>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</si>
  <si>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</si>
  <si>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</si>
  <si>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</si>
  <si>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</si>
  <si>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</si>
  <si>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</si>
  <si>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</si>
  <si>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</si>
  <si>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</si>
  <si>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</si>
  <si>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</si>
  <si>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</si>
  <si>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</si>
  <si>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</si>
  <si>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</si>
  <si>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</si>
  <si>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</si>
  <si>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</si>
  <si>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</si>
  <si>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</si>
  <si>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</si>
  <si>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</si>
  <si>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</si>
  <si>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</si>
  <si>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</si>
  <si>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</si>
  <si>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</si>
  <si>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</si>
  <si>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</si>
  <si>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</si>
  <si>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</si>
  <si>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</si>
  <si>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E. OSTALI DOBICI I GUBICI I OSTALI PRIHODI I DOBICI (252 do 260)</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</si>
  <si>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</si>
  <si>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</si>
  <si>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</si>
  <si>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</si>
  <si>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</si>
  <si>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</si>
  <si>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</si>
  <si>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</si>
  <si>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</si>
  <si>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</si>
  <si>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</si>
  <si>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</si>
  <si>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</si>
  <si>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</si>
  <si>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</si>
  <si>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</si>
  <si>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</si>
  <si>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</si>
  <si>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</si>
  <si>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</si>
  <si>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</si>
  <si>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</si>
  <si>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</si>
  <si>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</si>
  <si>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</si>
  <si>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</si>
  <si>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</si>
  <si>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</si>
  <si>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</si>
  <si>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</si>
  <si>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</si>
  <si>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</si>
  <si>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</si>
  <si>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</si>
  <si>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</si>
  <si>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</si>
  <si>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</si>
  <si>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</si>
  <si>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</si>
  <si>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</si>
  <si>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</si>
  <si>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</si>
  <si>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</si>
  <si>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</si>
  <si>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</si>
  <si>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</si>
  <si>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</si>
  <si>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</si>
  <si>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</si>
  <si>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</si>
  <si>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</si>
  <si>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</si>
  <si>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</si>
  <si>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</si>
  <si>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</si>
  <si>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</si>
  <si>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</si>
  <si>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</si>
  <si>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</si>
  <si>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</si>
  <si>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</si>
  <si>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</si>
  <si>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</si>
  <si>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</si>
  <si>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</si>
  <si>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</si>
  <si>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</si>
  <si>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</si>
  <si>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</si>
  <si>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</si>
  <si>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</si>
  <si>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</si>
  <si>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</si>
  <si>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</si>
  <si>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</si>
  <si>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</si>
  <si>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</si>
  <si>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</si>
  <si>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</si>
  <si>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</si>
  <si>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</si>
  <si>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</si>
  <si>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</si>
  <si>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</si>
  <si>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</si>
  <si>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</si>
  <si>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</si>
  <si>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</si>
  <si>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</si>
  <si>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</si>
  <si>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</si>
  <si>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</si>
  <si>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</si>
  <si>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</si>
  <si>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</si>
  <si>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</si>
  <si>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</si>
  <si>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</si>
  <si>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</si>
  <si>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</si>
  <si>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</si>
  <si>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</si>
  <si>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</si>
  <si>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</si>
  <si>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</si>
  <si>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</si>
  <si>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</si>
  <si>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</si>
  <si>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</si>
  <si>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</si>
  <si>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</si>
  <si>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</si>
  <si>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</si>
  <si>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</si>
  <si>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</si>
  <si>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</si>
  <si>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</si>
  <si>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</si>
  <si>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</si>
  <si>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</si>
  <si>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</si>
  <si>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</si>
  <si>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</si>
  <si>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</si>
  <si>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</si>
  <si>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</si>
  <si>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</si>
  <si>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</si>
  <si>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</si>
  <si>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</si>
  <si>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</si>
  <si>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</si>
  <si>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</si>
  <si>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</si>
  <si>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</si>
  <si>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</si>
  <si>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</si>
  <si>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</si>
  <si>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</si>
  <si>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</si>
  <si>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</si>
  <si>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</si>
  <si>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</si>
  <si>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</si>
  <si>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</si>
  <si>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</si>
  <si>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</si>
  <si>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</si>
  <si>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</si>
  <si>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</si>
  <si>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</si>
  <si>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</si>
  <si>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</si>
  <si>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</si>
  <si>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</si>
  <si>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</si>
  <si>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</si>
  <si>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</si>
  <si>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</si>
  <si>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</si>
  <si>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</si>
  <si>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</si>
  <si>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</si>
  <si>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</si>
  <si>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</si>
  <si>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</si>
  <si>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</si>
  <si>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</si>
  <si>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</si>
  <si>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</si>
  <si>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</si>
  <si>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</si>
  <si>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</si>
  <si>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</si>
  <si>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</si>
  <si>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</si>
  <si>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</si>
  <si>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</si>
  <si>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</si>
  <si>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</si>
  <si>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</si>
  <si>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</si>
  <si>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</si>
  <si>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</si>
  <si>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</si>
  <si>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</si>
  <si>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</si>
  <si>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</si>
  <si>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</si>
  <si>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</si>
  <si>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</si>
  <si>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</si>
  <si>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</si>
  <si>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</si>
  <si>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</si>
  <si>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</si>
  <si>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</si>
  <si>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</si>
  <si>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</si>
  <si>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</si>
  <si>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</si>
  <si>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</si>
  <si>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</si>
  <si>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</si>
  <si>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</si>
  <si>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</si>
  <si>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</si>
  <si>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</si>
  <si>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</si>
  <si>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</si>
  <si>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</si>
  <si>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</si>
  <si>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</si>
  <si>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</si>
  <si>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</si>
  <si>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</si>
  <si>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</si>
  <si>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</si>
  <si>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</si>
  <si>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</si>
  <si>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</si>
  <si>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</si>
  <si>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</si>
  <si>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</si>
  <si>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</si>
  <si>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</si>
  <si>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</si>
  <si>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</si>
  <si>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</si>
  <si>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</si>
  <si>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</si>
  <si>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</si>
  <si>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</si>
  <si>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</si>
  <si>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</si>
  <si>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</si>
  <si>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</si>
  <si>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</si>
  <si>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</si>
  <si>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</si>
  <si>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</si>
  <si>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</si>
  <si>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</si>
  <si>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</si>
  <si>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</si>
  <si>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</si>
  <si>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</si>
  <si>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</si>
  <si>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</si>
  <si>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</si>
  <si>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</si>
  <si>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</si>
  <si>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</si>
  <si>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</si>
  <si>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</si>
  <si>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</si>
  <si>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</si>
  <si>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</si>
  <si>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</si>
  <si>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</si>
  <si>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</si>
  <si>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</si>
  <si>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</si>
  <si>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</si>
  <si>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</si>
  <si>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</si>
  <si>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</si>
  <si>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</si>
  <si>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</si>
  <si>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</si>
  <si>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</si>
  <si>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</si>
  <si>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</si>
  <si>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</si>
  <si>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</si>
  <si>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</si>
  <si>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</si>
  <si>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</si>
  <si>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</si>
  <si>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</si>
  <si>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</si>
  <si>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</si>
  <si>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</si>
  <si>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</si>
  <si>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</si>
  <si>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</si>
  <si>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</si>
  <si>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</si>
  <si>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</si>
  <si>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</si>
  <si>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</si>
  <si>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</si>
  <si>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</si>
  <si>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</si>
  <si>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</si>
  <si>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</si>
  <si>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</si>
  <si>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</si>
  <si>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</si>
  <si>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Of which: fuel and energy expenses</t>
  </si>
  <si>
    <t xml:space="preserve">WAGES, SALARIES, EMPLOYEE BENEFITS  AND OTHER PERSONAL EXPENSES  </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</si>
  <si>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</si>
  <si>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</si>
  <si>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</si>
  <si>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</si>
  <si>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</si>
  <si>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</si>
  <si>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</si>
  <si>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</si>
  <si>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</si>
  <si>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 xml:space="preserve"> Calculated (invoiced) value added tax (cumulative turnover of account)</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</si>
  <si>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</si>
  <si>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</si>
  <si>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</si>
  <si>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</si>
  <si>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</si>
  <si>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</si>
  <si>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</si>
  <si>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</si>
  <si>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</si>
  <si>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</si>
  <si>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</si>
  <si>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</si>
  <si>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</si>
  <si>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</si>
  <si>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</si>
  <si>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</si>
  <si>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</si>
  <si>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</si>
  <si>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</si>
  <si>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</si>
  <si>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</si>
  <si>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</si>
  <si>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</si>
  <si>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</si>
  <si>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</si>
  <si>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</si>
  <si>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</si>
  <si>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</si>
  <si>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</si>
  <si>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</si>
  <si>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</si>
  <si>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</si>
  <si>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</si>
  <si>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</si>
  <si>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</si>
  <si>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</si>
  <si>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</si>
  <si>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</si>
  <si>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</si>
  <si>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</si>
  <si>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</si>
  <si>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</si>
  <si>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</si>
  <si>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</si>
  <si>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</si>
  <si>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</si>
  <si>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</si>
  <si>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</si>
  <si>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</si>
  <si>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</si>
  <si>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</si>
  <si>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</si>
  <si>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</si>
  <si>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</si>
  <si>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</si>
  <si>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</si>
  <si>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</si>
  <si>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</si>
  <si>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</si>
  <si>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</si>
  <si>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</si>
  <si>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</si>
  <si>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</si>
  <si>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</si>
  <si>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</si>
  <si>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</si>
  <si>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</si>
  <si>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</si>
  <si>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</si>
  <si>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</si>
  <si>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</si>
  <si>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</si>
  <si>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</si>
  <si>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</si>
  <si>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</si>
  <si>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</si>
  <si>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</si>
  <si>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</si>
  <si>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</si>
  <si>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</si>
  <si>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</si>
  <si>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</si>
  <si>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</si>
  <si>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</si>
  <si>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</si>
  <si>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</si>
  <si>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</si>
  <si>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</si>
  <si>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</si>
  <si>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</si>
  <si>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</si>
  <si>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</si>
  <si>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</si>
  <si>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</si>
  <si>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</si>
  <si>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</si>
  <si>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</si>
  <si>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</si>
  <si>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</si>
  <si>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</si>
  <si>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</si>
  <si>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</si>
  <si>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</si>
  <si>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</si>
  <si>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</si>
  <si>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</si>
  <si>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</si>
  <si>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</si>
  <si>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</si>
  <si>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</si>
  <si>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</si>
  <si>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</si>
  <si>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</si>
  <si>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</si>
  <si>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Izvještaj o ostalim dobicima i gubicima perioda</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</si>
  <si>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</si>
  <si>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</si>
  <si>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</si>
  <si>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</si>
  <si>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</si>
  <si>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</si>
  <si>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</si>
  <si>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</si>
  <si>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</si>
  <si>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</si>
  <si>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</si>
  <si>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</si>
  <si>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</si>
  <si>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</si>
  <si>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</si>
  <si>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</si>
  <si>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</si>
  <si>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</si>
  <si>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</si>
  <si>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</si>
  <si>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</si>
  <si>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</si>
  <si>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</si>
  <si>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</si>
  <si>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</si>
  <si>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</si>
  <si>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</si>
  <si>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</si>
  <si>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</si>
  <si>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</si>
  <si>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</si>
  <si>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</si>
  <si>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</si>
  <si>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</si>
  <si>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</si>
  <si>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</si>
  <si>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</si>
  <si>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</si>
  <si>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</si>
  <si>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</si>
  <si>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</si>
  <si>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</si>
  <si>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</si>
  <si>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</si>
  <si>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</si>
  <si>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</si>
  <si>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</si>
  <si>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</si>
  <si>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</si>
  <si>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</si>
  <si>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</si>
  <si>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</si>
  <si>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</si>
  <si>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</si>
  <si>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</si>
  <si>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</si>
  <si>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</si>
  <si>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</si>
  <si>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</si>
  <si>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</si>
  <si>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</si>
  <si>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</si>
  <si>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</si>
  <si>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</si>
  <si>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</si>
  <si>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</si>
  <si>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</si>
  <si>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</si>
  <si>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</si>
  <si>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</si>
  <si>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</si>
  <si>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</si>
  <si>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</si>
  <si>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</si>
  <si>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</si>
  <si>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</si>
  <si>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</si>
  <si>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</si>
  <si>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</si>
  <si>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</si>
  <si>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</si>
  <si>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</si>
  <si>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</si>
  <si>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</si>
  <si>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</si>
  <si>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</si>
  <si>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</si>
  <si>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</si>
  <si>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</si>
  <si>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</si>
  <si>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</si>
  <si>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</si>
  <si>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</si>
  <si>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</si>
  <si>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</si>
  <si>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 Items that can be reclassified in the income statement (±402+403±404±405-406+407)</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</si>
  <si>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</si>
  <si>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</si>
  <si>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</si>
  <si>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</si>
  <si>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</si>
  <si>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</si>
  <si>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</si>
  <si>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</si>
  <si>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</si>
  <si>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</si>
  <si>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</si>
  <si>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</si>
  <si>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</si>
  <si>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</si>
  <si>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</si>
  <si>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</si>
  <si>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</si>
  <si>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</si>
  <si>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</si>
  <si>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</si>
  <si>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</si>
  <si>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</si>
  <si>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</si>
  <si>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</si>
  <si>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</si>
  <si>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</si>
  <si>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</si>
  <si>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</si>
  <si>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</si>
  <si>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</si>
  <si>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</si>
  <si>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</si>
  <si>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</si>
  <si>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</si>
  <si>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</si>
  <si>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</si>
  <si>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</si>
  <si>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</si>
  <si>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</si>
  <si>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</si>
  <si>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</si>
  <si>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</si>
  <si>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</si>
  <si>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</si>
  <si>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</si>
  <si>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</si>
  <si>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</si>
  <si>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</si>
  <si>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</si>
  <si>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</si>
  <si>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</si>
  <si>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</si>
  <si>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</si>
  <si>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</si>
  <si>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</si>
  <si>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</si>
  <si>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</si>
  <si>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</si>
  <si>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</si>
  <si>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</si>
  <si>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</si>
  <si>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</si>
  <si>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</si>
  <si>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</si>
  <si>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</si>
  <si>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</si>
  <si>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</si>
  <si>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</si>
  <si>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</si>
  <si>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</si>
  <si>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</si>
  <si>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</si>
  <si>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</si>
  <si>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</si>
  <si>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</si>
  <si>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</si>
  <si>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</si>
  <si>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</si>
  <si>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</si>
  <si>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</si>
  <si>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</si>
  <si>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</si>
  <si>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</si>
  <si>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</si>
  <si>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</si>
  <si>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</si>
  <si>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</si>
  <si>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</si>
  <si>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</si>
  <si>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</si>
  <si>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</si>
  <si>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</si>
  <si>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</si>
  <si>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</si>
  <si>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</si>
  <si>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</si>
  <si>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</si>
  <si>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</si>
  <si>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</si>
  <si>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</si>
  <si>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</si>
  <si>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</si>
  <si>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</si>
  <si>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</si>
  <si>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</si>
  <si>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</si>
  <si>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</si>
  <si>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</si>
  <si>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</si>
  <si>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</si>
  <si>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</si>
  <si>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</si>
  <si>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</si>
  <si>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</si>
  <si>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</si>
  <si>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</si>
  <si>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</si>
  <si>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</si>
  <si>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</si>
  <si>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</si>
  <si>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</si>
  <si>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</si>
  <si>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</si>
  <si>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</si>
  <si>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</si>
  <si>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</si>
  <si>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</si>
  <si>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</si>
  <si>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</si>
  <si>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</si>
  <si>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</si>
  <si>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</si>
  <si>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</si>
  <si>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</si>
  <si>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</si>
  <si>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</si>
  <si>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</si>
  <si>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</si>
  <si>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</si>
  <si>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</si>
  <si>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</si>
  <si>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</si>
  <si>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</si>
  <si>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</si>
  <si>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</si>
  <si>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</si>
  <si>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</si>
  <si>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</si>
  <si>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601, dio 600</t>
  </si>
  <si>
    <t>601, дио 600</t>
  </si>
  <si>
    <t>601, part 600</t>
  </si>
  <si>
    <t>602, dio 600</t>
  </si>
  <si>
    <t>602, дио 600</t>
  </si>
  <si>
    <t>602, part 600</t>
  </si>
  <si>
    <t>603, dio 600</t>
  </si>
  <si>
    <t>603, дио 600</t>
  </si>
  <si>
    <t>603, part 600</t>
  </si>
  <si>
    <t>611, dio 610</t>
  </si>
  <si>
    <t>611, дио 610</t>
  </si>
  <si>
    <t>611, part 610</t>
  </si>
  <si>
    <t>612, dio 610</t>
  </si>
  <si>
    <t>612, дио 610</t>
  </si>
  <si>
    <t>612, part 610</t>
  </si>
  <si>
    <t>613, dio 610</t>
  </si>
  <si>
    <t>613, дио 610</t>
  </si>
  <si>
    <t>613, part 610</t>
  </si>
  <si>
    <t>дио 611</t>
  </si>
  <si>
    <t>дио 612</t>
  </si>
  <si>
    <t>dio 613</t>
  </si>
  <si>
    <t>дио 613</t>
  </si>
  <si>
    <t>part 613</t>
  </si>
  <si>
    <t>дио 650</t>
  </si>
  <si>
    <t>66 + 67</t>
  </si>
  <si>
    <t>дио 660</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</si>
  <si>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</si>
  <si>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</si>
  <si>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</si>
  <si>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</si>
  <si>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</si>
  <si>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</si>
  <si>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</si>
  <si>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</si>
  <si>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</si>
  <si>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</si>
  <si>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</si>
  <si>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</si>
  <si>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</si>
  <si>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</si>
  <si>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</si>
  <si>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</si>
  <si>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</si>
  <si>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</si>
  <si>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</si>
  <si>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</si>
  <si>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</si>
  <si>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</si>
  <si>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</si>
  <si>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</si>
  <si>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</si>
  <si>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</si>
  <si>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</si>
  <si>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</si>
  <si>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</si>
  <si>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</si>
  <si>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</si>
  <si>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</si>
  <si>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</si>
  <si>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</si>
  <si>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</si>
  <si>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</si>
  <si>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</si>
  <si>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</si>
  <si>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</si>
  <si>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</si>
  <si>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</si>
  <si>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</si>
  <si>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</si>
  <si>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</si>
  <si>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</si>
  <si>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</si>
  <si>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</si>
  <si>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</si>
  <si>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</si>
  <si>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</si>
  <si>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</si>
  <si>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</si>
  <si>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</si>
  <si>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</si>
  <si>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</si>
  <si>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dio 61</t>
  </si>
  <si>
    <t>522 + 523</t>
  </si>
  <si>
    <t>nema konta</t>
  </si>
  <si>
    <t>part 61</t>
  </si>
  <si>
    <t>дио 61</t>
  </si>
  <si>
    <t>Prihodi od prodaje proizvoda</t>
  </si>
  <si>
    <t>Prihodi od prodaje usluga</t>
  </si>
  <si>
    <t>OSTALI POSLOVNI PRIHODI (620 + 623 + 624 + 625 + 626 + 627 + 628)</t>
  </si>
  <si>
    <t>Prihodi po osnovu ugovorene zaštite od rizika koji ne ispunjavaju uslove da se iskažu u okviru revalorizacionih rezervi</t>
  </si>
  <si>
    <t>Troškovi bruto naknada članovima upravnog, nadzornog, odbora za reviziju i dr.</t>
  </si>
  <si>
    <t>TROŠKOVI PROIZVODNIH USLUGA (640 + 641 + 642 + 643 + 644 + 645 + 646 + 647)</t>
  </si>
  <si>
    <t>NEMATERIJALNI TROŠKOVI (650 + 653 + 654 + 655 + 656 + 657 + 658 + 659)</t>
  </si>
  <si>
    <t>a) Troškovi neproizvodnih usluga</t>
  </si>
  <si>
    <t>Od toga: troškovi stručnog obrazovanja i usavršavanja zaposlenih</t>
  </si>
  <si>
    <t>b) Troškovi reprezentacije</t>
  </si>
  <si>
    <t>v) Troškovi premije osiguranja</t>
  </si>
  <si>
    <t>g) Troškovi platnog prometa</t>
  </si>
  <si>
    <t>d) Troškovi članarina</t>
  </si>
  <si>
    <t>đ) Troškovi poreza na proizvode, carine, boravišne takse, porez na igre na sreću i sl.</t>
  </si>
  <si>
    <t>ž) Ostali nematerijalni troškovi</t>
  </si>
  <si>
    <t>e) Troškovi poreza na proizvodnju: na imovinu, na zemljište, za korišćenje voda i šuma, za protivpožarnu zaštitu i sl.</t>
  </si>
  <si>
    <t>1</t>
  </si>
  <si>
    <t>Income from sales of products</t>
  </si>
  <si>
    <t>Income from sales of services</t>
  </si>
  <si>
    <t>a) Non-productive services expense</t>
  </si>
  <si>
    <t>b) Representation expense</t>
  </si>
  <si>
    <t>c) Insurance premium expanse</t>
  </si>
  <si>
    <t>d) Money transfer expense</t>
  </si>
  <si>
    <t>e) Membership fee expanse</t>
  </si>
  <si>
    <t>f) Taxes on products, duties, residential tax, gambling tax, etc.</t>
  </si>
  <si>
    <t>g) Taxes on production: property and land taxes, taxes for water and forest, fire protection, etc.</t>
  </si>
  <si>
    <t>h) Other non-material expenses</t>
  </si>
  <si>
    <t>нема конта</t>
  </si>
  <si>
    <t>Приходи од продаје услуга</t>
  </si>
  <si>
    <t>Приходи од продаје производа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</si>
  <si>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</si>
  <si>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</si>
  <si>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а) Трошкови непроизводних услуга</t>
  </si>
  <si>
    <t>б) Трошкови репрезентације</t>
  </si>
  <si>
    <t>в) Трошкови премије осигурања</t>
  </si>
  <si>
    <t>г) Трошкови платног промета</t>
  </si>
  <si>
    <t>д) Трошкови чланарина</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</si>
  <si>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</si>
  <si>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</si>
  <si>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</si>
  <si>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</si>
  <si>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</si>
  <si>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</si>
  <si>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</si>
  <si>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</si>
  <si>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</si>
  <si>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</si>
  <si>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</si>
  <si>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</si>
  <si>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</si>
  <si>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</si>
  <si>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</si>
  <si>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</si>
  <si>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</si>
  <si>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</si>
  <si>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</si>
  <si>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</si>
  <si>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</si>
  <si>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</si>
  <si>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</si>
  <si>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</si>
  <si>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</si>
  <si>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</si>
  <si>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</si>
  <si>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</si>
  <si>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</si>
  <si>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</si>
  <si>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</si>
  <si>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</si>
  <si>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</si>
  <si>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</si>
  <si>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</si>
  <si>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</si>
  <si>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</si>
  <si>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</si>
  <si>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</si>
  <si>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</si>
  <si>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</si>
  <si>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</si>
  <si>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</si>
  <si>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</si>
  <si>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</si>
  <si>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</si>
  <si>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</si>
  <si>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</si>
  <si>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</si>
  <si>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</si>
  <si>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</si>
  <si>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</si>
  <si>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</si>
  <si>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</si>
  <si>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</si>
  <si>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</si>
  <si>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</si>
  <si>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</si>
  <si>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</si>
  <si>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</si>
  <si>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</si>
  <si>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</si>
  <si>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</si>
  <si>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</si>
  <si>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</si>
  <si>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</si>
  <si>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</si>
  <si>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</si>
  <si>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</si>
  <si>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</si>
  <si>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</si>
  <si>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</si>
  <si>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</si>
  <si>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</si>
  <si>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</si>
  <si>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</si>
  <si>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</si>
  <si>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</si>
  <si>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</si>
  <si>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</si>
  <si>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</si>
  <si>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</si>
  <si>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</si>
  <si>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</si>
  <si>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</si>
  <si>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</si>
  <si>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</si>
  <si>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</si>
  <si>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</si>
  <si>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</si>
  <si>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</si>
  <si>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</si>
  <si>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</si>
  <si>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</si>
  <si>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</si>
  <si>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</si>
  <si>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</si>
  <si>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</si>
  <si>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</si>
  <si>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</si>
  <si>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</si>
  <si>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</si>
  <si>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</si>
  <si>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</si>
  <si>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</si>
  <si>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</si>
  <si>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</si>
  <si>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</si>
  <si>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</si>
  <si>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</si>
  <si>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</si>
  <si>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</si>
  <si>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</si>
  <si>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</si>
  <si>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</si>
  <si>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</si>
  <si>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</si>
  <si>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</si>
  <si>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</si>
  <si>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</si>
  <si>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</si>
  <si>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</si>
  <si>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</si>
  <si>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</si>
  <si>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</si>
  <si>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</si>
  <si>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</si>
  <si>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</si>
  <si>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</si>
  <si>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</si>
  <si>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</si>
  <si>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</si>
  <si>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</si>
  <si>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</si>
  <si>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</si>
  <si>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</si>
  <si>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</si>
  <si>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</si>
  <si>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</si>
  <si>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</si>
  <si>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</si>
  <si>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</si>
  <si>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</si>
  <si>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</si>
  <si>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</si>
  <si>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</si>
  <si>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</si>
  <si>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</si>
  <si>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</si>
  <si>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</si>
  <si>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</si>
  <si>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</si>
  <si>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</si>
  <si>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</si>
  <si>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</si>
  <si>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</si>
  <si>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</si>
  <si>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</si>
  <si>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</si>
  <si>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</si>
  <si>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</si>
  <si>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</si>
  <si>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</si>
  <si>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</si>
  <si>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</si>
  <si>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</si>
  <si>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</si>
  <si>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</si>
  <si>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</si>
  <si>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</si>
  <si>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</si>
  <si>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</si>
  <si>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</si>
  <si>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</si>
  <si>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</si>
  <si>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</si>
  <si>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</si>
  <si>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</si>
  <si>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</si>
  <si>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</si>
  <si>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</si>
  <si>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</si>
  <si>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</si>
  <si>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</si>
  <si>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</si>
  <si>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</si>
  <si>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</si>
  <si>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</si>
  <si>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</si>
  <si>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</si>
  <si>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</si>
  <si>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</si>
  <si>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</si>
  <si>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</si>
  <si>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</si>
  <si>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</si>
  <si>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</si>
  <si>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</si>
  <si>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</si>
  <si>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</si>
  <si>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</si>
  <si>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</si>
  <si>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</si>
  <si>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</si>
  <si>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</si>
  <si>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</si>
  <si>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</si>
  <si>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</si>
  <si>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</si>
  <si>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</si>
  <si>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</si>
  <si>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</si>
  <si>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</si>
  <si>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</si>
  <si>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</si>
  <si>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</si>
  <si>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</si>
  <si>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</si>
  <si>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</si>
  <si>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</si>
  <si>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</si>
  <si>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</si>
  <si>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</si>
  <si>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</si>
  <si>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</si>
  <si>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</si>
  <si>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</si>
  <si>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</si>
  <si>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</si>
  <si>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</si>
  <si>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</si>
  <si>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</si>
  <si>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</si>
  <si>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</si>
  <si>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</si>
  <si>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</si>
  <si>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</si>
  <si>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</si>
  <si>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</si>
  <si>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</si>
  <si>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</si>
  <si>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</si>
  <si>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</si>
  <si>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</si>
  <si>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</si>
  <si>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</si>
  <si>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</si>
  <si>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</si>
  <si>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</si>
  <si>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</si>
  <si>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</si>
  <si>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</si>
  <si>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</si>
  <si>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</si>
  <si>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</si>
  <si>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</si>
  <si>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</si>
  <si>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</si>
  <si>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</si>
  <si>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</si>
  <si>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</si>
  <si>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</si>
  <si>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</si>
  <si>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</si>
  <si>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</si>
  <si>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</si>
  <si>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</si>
  <si>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</si>
  <si>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</si>
  <si>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</si>
  <si>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</si>
  <si>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</si>
  <si>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</si>
  <si>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</si>
  <si>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</si>
  <si>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</si>
  <si>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</si>
  <si>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</si>
  <si>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</si>
  <si>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</si>
  <si>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</si>
  <si>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</si>
  <si>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</si>
  <si>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</si>
  <si>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</si>
  <si>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</si>
  <si>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</si>
  <si>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</si>
  <si>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</si>
  <si>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</si>
  <si>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</si>
  <si>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</si>
  <si>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</si>
  <si>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</si>
  <si>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</si>
  <si>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</si>
  <si>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</si>
  <si>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</si>
  <si>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</si>
  <si>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</si>
  <si>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</si>
  <si>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</si>
  <si>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</si>
  <si>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</si>
  <si>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</si>
  <si>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</si>
  <si>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</si>
  <si>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</si>
  <si>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</si>
  <si>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</si>
  <si>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Od toga: prihodi od učešća u dobiti (dividendi)</t>
  </si>
  <si>
    <t>TROŠKOVI MATERIJALA</t>
  </si>
  <si>
    <t>Od toga: troškovi goriva i energije</t>
  </si>
  <si>
    <t>TROŠKOVI ZARADA, NAKNADA ZARADA I OSTALIH LIČNIH RASHODA</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</si>
  <si>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</si>
  <si>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</si>
  <si>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</si>
  <si>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</si>
  <si>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612</t>
  </si>
  <si>
    <t>dio 611</t>
  </si>
  <si>
    <t>dio 660</t>
  </si>
  <si>
    <t>dio 670</t>
  </si>
  <si>
    <t>dio 532</t>
  </si>
  <si>
    <t>dio 539</t>
  </si>
  <si>
    <t>dio 555</t>
  </si>
  <si>
    <t>part 612</t>
  </si>
  <si>
    <t>part 611</t>
  </si>
  <si>
    <t>part 650</t>
  </si>
  <si>
    <t>part 660</t>
  </si>
  <si>
    <t>part 670</t>
  </si>
  <si>
    <t>part 532</t>
  </si>
  <si>
    <t>part 539</t>
  </si>
  <si>
    <t>part 550</t>
  </si>
  <si>
    <t>part 555</t>
  </si>
  <si>
    <t>a) Income from premiums, subsidies, grants, vacation allowances, compensations and tax returns</t>
  </si>
  <si>
    <t>Od toga: prihodi po osnovu subvencija na proizvode (subvencije koje se mogu prikazati po jedinici proizvoda, npr. vozna karta, brašno, hljeb, mlijeko i dr.)</t>
  </si>
  <si>
    <t>Of which: income from product subsidies (subsidies that could be displayed per product unit, e.g. traveler ticket, flour, bread, milk, etc.)</t>
  </si>
  <si>
    <t>b) Prihod od zakupnina</t>
  </si>
  <si>
    <t>b) Income from rent</t>
  </si>
  <si>
    <t>c) Income from donations</t>
  </si>
  <si>
    <t>d) Income from membership fees</t>
  </si>
  <si>
    <t>e) Income from bonuses and license rights</t>
  </si>
  <si>
    <t>f) Income from dedicated funding sources (budgets, funds, etc.)</t>
  </si>
  <si>
    <t>g) Other operating incomes from other sources</t>
  </si>
  <si>
    <t>FINANCIAL AND OTHER INCOME</t>
  </si>
  <si>
    <t>Of which: income from share in profit (dividends)</t>
  </si>
  <si>
    <t>Gains from sale of real-estate, plant and equipment</t>
  </si>
  <si>
    <t xml:space="preserve">MATERIAL EXPENSES </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</si>
  <si>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</si>
  <si>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</si>
  <si>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</si>
  <si>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</si>
  <si>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</si>
  <si>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</si>
  <si>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</si>
  <si>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</si>
  <si>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</si>
  <si>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</si>
  <si>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</si>
  <si>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</si>
  <si>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</si>
  <si>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</si>
  <si>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</si>
  <si>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</si>
  <si>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</si>
  <si>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</si>
  <si>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</si>
  <si>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</si>
  <si>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</si>
  <si>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</si>
  <si>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</si>
  <si>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</si>
  <si>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</si>
  <si>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</si>
  <si>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</si>
  <si>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</si>
  <si>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</si>
  <si>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</si>
  <si>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</si>
  <si>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</si>
  <si>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</si>
  <si>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</si>
  <si>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</si>
  <si>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</si>
  <si>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</si>
  <si>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</si>
  <si>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</si>
  <si>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</si>
  <si>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</si>
  <si>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</si>
  <si>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</si>
  <si>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</si>
  <si>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</si>
  <si>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</si>
  <si>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</si>
  <si>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</si>
  <si>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</si>
  <si>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</si>
  <si>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</si>
  <si>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</si>
  <si>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</si>
  <si>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</si>
  <si>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</si>
  <si>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</si>
  <si>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</si>
  <si>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</si>
  <si>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</si>
  <si>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</si>
  <si>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</si>
  <si>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</si>
  <si>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</si>
  <si>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</si>
  <si>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</si>
  <si>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</si>
  <si>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</si>
  <si>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</si>
  <si>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</si>
  <si>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</si>
  <si>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</si>
  <si>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</si>
  <si>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</si>
  <si>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</si>
  <si>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</si>
  <si>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</si>
  <si>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</si>
  <si>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</si>
  <si>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</si>
  <si>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</si>
  <si>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</si>
  <si>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</si>
  <si>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</si>
  <si>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</si>
  <si>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</si>
  <si>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</si>
  <si>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</si>
  <si>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</si>
  <si>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6. Avansi i nekretnine, postrojenja i opremu u pripremi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</si>
  <si>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</si>
  <si>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</si>
  <si>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</si>
  <si>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</si>
  <si>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</si>
  <si>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</si>
  <si>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</si>
  <si>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</si>
  <si>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</si>
  <si>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</si>
  <si>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</si>
  <si>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</si>
  <si>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</si>
  <si>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</si>
  <si>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</si>
  <si>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</si>
  <si>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</si>
  <si>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</si>
  <si>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</si>
  <si>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</si>
  <si>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</si>
  <si>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</si>
  <si>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</si>
  <si>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</si>
  <si>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</si>
  <si>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</si>
  <si>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</si>
  <si>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</si>
  <si>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</si>
  <si>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</si>
  <si>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</si>
  <si>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</si>
  <si>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</si>
  <si>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</si>
  <si>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</si>
  <si>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</si>
  <si>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</si>
  <si>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</si>
  <si>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</si>
  <si>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</si>
  <si>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</si>
  <si>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</si>
  <si>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</si>
  <si>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</si>
  <si>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</si>
  <si>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</si>
  <si>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</si>
  <si>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</si>
  <si>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</si>
  <si>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</si>
  <si>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</si>
  <si>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</si>
  <si>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</si>
  <si>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</si>
  <si>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</si>
  <si>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</si>
  <si>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</si>
  <si>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</si>
  <si>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</si>
  <si>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</si>
  <si>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</si>
  <si>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</si>
  <si>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</si>
  <si>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</si>
  <si>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Prihodi od prodaje učinaka u Republici Srpskoj i prihodi od prodaje učinaka povezanim pravnim licima u RS</t>
  </si>
  <si>
    <t>Приходи од продаје учинака у Републици Српској и приходи од продаје учинака повезаним правним лицима у РС</t>
  </si>
  <si>
    <t>Income from sales of products in RS and income from sales of merchandise goods to related legal entities in RS</t>
  </si>
  <si>
    <t>Prihodi od prodaje učinaka u Federaciji BiH i prihodi od prodaje učinaka povezanim pravnim licima u FBiH</t>
  </si>
  <si>
    <t>Приходи од продаје учинака у Федерацији БиХ и приходи од продаје учинака повезаним правним лицима у ФБиХ</t>
  </si>
  <si>
    <t>Income from sales of products in FBiH and income from sales of merchandise goods to related legal entities in FBiH</t>
  </si>
  <si>
    <t>Prihodi od prodaje učinaka u Brčko Distriktu BiH i prihodi od prodaje učinaka povezanim pravnim licima u BD</t>
  </si>
  <si>
    <t>Приходи од продаје учинака у Брчко Дистрикту БиХ и приходи од продаје учинака повезаним правним лицима у БД</t>
  </si>
  <si>
    <t>Income from sales of products in BD and income from sales of merchandise goods to related legal entities in BD</t>
  </si>
  <si>
    <t>Prihodi od prodaje usluga u Republici Srpskoj</t>
  </si>
  <si>
    <t>Приходи од продаје услуга у Републици Српској</t>
  </si>
  <si>
    <t>Income from sales of services in RS</t>
  </si>
  <si>
    <t>Prihodi od prodaje usluga u Federaciji BiH</t>
  </si>
  <si>
    <t>Приходи од продаје услуга у Федерацији БиХ</t>
  </si>
  <si>
    <t>Income from sales of services in FBiH</t>
  </si>
  <si>
    <t>Prihodi od prodaje usluga u Brčko Distriktu BiH</t>
  </si>
  <si>
    <t>Приходи од продаје услуга у Брчко Дистрикту БиХ</t>
  </si>
  <si>
    <t>Income from sales of services in BD</t>
  </si>
  <si>
    <t>a) Prihodi od premija, subvencija, dotacija, regresa, podsticaja i slično</t>
  </si>
  <si>
    <t>а) Приходи од премија, субвенција, дотација, регреса, подстицаја и слично</t>
  </si>
  <si>
    <t>Од тога: приходи по основу субвенција на производе (субвенције које се могу приказати по јединици производа, нпр. возна карта, брашно, хљеб, млијеко и др.)</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</si>
  <si>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</si>
  <si>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</si>
  <si>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</si>
  <si>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</si>
  <si>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</si>
  <si>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е) Остали пословни приходи по другим основима</t>
  </si>
  <si>
    <t>ФИНАНСИЈСКИ И ОСТАЛИ ПРИХОДИ</t>
  </si>
  <si>
    <t>Од тога: приходи од учешћа у добити (дивиденди)</t>
  </si>
  <si>
    <t>Dobici po osnovu prodaje nekretnina, postrojenja i opreme</t>
  </si>
  <si>
    <t>Добици по основу продаје некретнина, постројења и опреме</t>
  </si>
  <si>
    <t>ТРОШКОВИ МАТЕРИЈАЛА</t>
  </si>
  <si>
    <t>Од тога: трошкови горива и енергије</t>
  </si>
  <si>
    <t>ТРОШКОВИ ЗАРАДА, НАКНАДА ЗАРАДА И ОСТАЛИХ ЛИЧНИХ РАСХОДА</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</si>
  <si>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</si>
  <si>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</si>
  <si>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</si>
  <si>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</si>
  <si>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</si>
  <si>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</si>
  <si>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</si>
  <si>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</si>
  <si>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</si>
  <si>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</si>
  <si>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</si>
  <si>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</si>
  <si>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</si>
  <si>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</si>
  <si>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</si>
  <si>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</si>
  <si>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</si>
  <si>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</si>
  <si>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</si>
  <si>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</si>
  <si>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</si>
  <si>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</si>
  <si>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</si>
  <si>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</si>
  <si>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</si>
  <si>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</si>
  <si>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</si>
  <si>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</si>
  <si>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</si>
  <si>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</si>
  <si>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</si>
  <si>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</si>
  <si>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</si>
  <si>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</si>
  <si>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</si>
  <si>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</si>
  <si>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</si>
  <si>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</si>
  <si>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</si>
  <si>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</si>
  <si>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</si>
  <si>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</si>
  <si>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</si>
  <si>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</si>
  <si>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</si>
  <si>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</si>
  <si>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</si>
  <si>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</si>
  <si>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</si>
  <si>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</si>
  <si>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</si>
  <si>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</si>
  <si>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</si>
  <si>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</si>
  <si>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</si>
  <si>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</si>
  <si>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</si>
  <si>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</si>
  <si>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</si>
  <si>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</si>
  <si>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</si>
  <si>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</si>
  <si>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</si>
  <si>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</si>
  <si>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</si>
  <si>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</si>
  <si>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</si>
  <si>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</si>
  <si>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</si>
  <si>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</si>
  <si>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</si>
  <si>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</si>
  <si>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</si>
  <si>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</si>
  <si>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</si>
  <si>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</si>
  <si>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</si>
  <si>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</si>
  <si>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</si>
  <si>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</si>
  <si>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</si>
  <si>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</si>
  <si>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</si>
  <si>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</si>
  <si>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</si>
  <si>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</si>
  <si>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</si>
  <si>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</si>
  <si>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</si>
  <si>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dio 689, dio 589neto prikaz</t>
  </si>
  <si>
    <t>58</t>
  </si>
  <si>
    <t>588, dio 589, 688, dio 689</t>
  </si>
  <si>
    <t>587, 687 neto prikaz</t>
  </si>
  <si>
    <t>dio 589, dio 689neto prikaz</t>
  </si>
  <si>
    <t>690 i 691</t>
  </si>
  <si>
    <t>590 i 591</t>
  </si>
  <si>
    <t>721</t>
  </si>
  <si>
    <t>722</t>
  </si>
  <si>
    <t>724</t>
  </si>
  <si>
    <t>723</t>
  </si>
  <si>
    <t>725</t>
  </si>
  <si>
    <t>726</t>
  </si>
  <si>
    <t>Дана:</t>
  </si>
  <si>
    <t>Dana:</t>
  </si>
  <si>
    <t>1. Ставке које могу бити рекласификоване у биланс успјеха (±402+403±404±405-406+407)</t>
  </si>
  <si>
    <t>2.  Ставке које неће бити рекласификоване у биланс успјеха (± 409± 410 ± 411 ± 412 ± 413 ± 414)</t>
  </si>
  <si>
    <t>Дио укупне добити/губитка који припада већинским власницима</t>
  </si>
  <si>
    <t>1. Stavke koje mogu biti reklasifikovane u bilans uspjeha (±402+403±404±405-406+407)</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</si>
  <si>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</si>
  <si>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</si>
  <si>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</si>
  <si>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</si>
  <si>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</si>
  <si>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</si>
  <si>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</si>
  <si>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</si>
  <si>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</si>
  <si>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</si>
  <si>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</si>
  <si>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</si>
  <si>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</si>
  <si>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</si>
  <si>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</si>
  <si>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</si>
  <si>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</si>
  <si>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</si>
  <si>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</si>
  <si>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</si>
  <si>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</si>
  <si>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</si>
  <si>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</si>
  <si>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</si>
  <si>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</si>
  <si>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</si>
  <si>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</si>
  <si>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</si>
  <si>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</si>
  <si>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</si>
  <si>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</si>
  <si>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</si>
  <si>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</si>
  <si>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</si>
  <si>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</si>
  <si>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</si>
  <si>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</si>
  <si>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</si>
  <si>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</si>
  <si>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</si>
  <si>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</si>
  <si>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</si>
  <si>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</si>
  <si>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</si>
  <si>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</si>
  <si>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</si>
  <si>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</si>
  <si>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</si>
  <si>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</si>
  <si>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</si>
  <si>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</si>
  <si>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</si>
  <si>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</si>
  <si>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</si>
  <si>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</si>
  <si>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</si>
  <si>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</si>
  <si>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</si>
  <si>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</si>
  <si>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</si>
  <si>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</si>
  <si>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</si>
  <si>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</si>
  <si>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</si>
  <si>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ђ) Трошкови пореза на производе, царине, боравишне таксе, порез на игре на срећу и сл.</t>
  </si>
  <si>
    <t>е) Трошкови пореза на производњу: на имовину, на земљиште, за коришћење вода и шума, за противпожарну заштиту и сл.</t>
  </si>
  <si>
    <t>ж) Остали нематеријални трошкови</t>
  </si>
  <si>
    <t>Gross salaries to the members of the Management, Supervisory, the Board of Auditors and others.</t>
  </si>
  <si>
    <t>Od toga: prihodi po osnovu subvencija na proizvodnju (na zapošljavanje, platu, kamatnu stopu, za smanjenje zagađenja i dr.)</t>
  </si>
  <si>
    <t>Од тога: приходи по основу субвенција на производњу (на запошљавање, плату, каматну стопу, за смањење загађења и др.)</t>
  </si>
  <si>
    <t>Of which: income from subsidies given for production (hiring, salary, interest rate, reduction of pollution, etc.)</t>
  </si>
  <si>
    <t>309</t>
  </si>
  <si>
    <t>35</t>
  </si>
  <si>
    <t>Pozitivne promjene, odnosno korekcije, se unose kao pozitivni brojevi (osnovni kapital, dobitak period, pozitivne korekcije).</t>
  </si>
  <si>
    <t>Obveznici koji u izvještajnom periodu nisu ostvarili ostale dobitke i gubitke, odnosno dobitke i gubitke utvrđene direktno u kapitalu nisu obavezni da prezentuju Izvještaj o ostalim dobicima i gubicima u periodu.</t>
  </si>
  <si>
    <t>U Aneksu popunjavaju se kolone 4 i 5, dok se zbirovi automatski računaju.</t>
  </si>
  <si>
    <t>Ukoliko prilikom popunjavanja tabela imate bilo kakva pitanja budite slobodni da kontaktirate Sektor za poslovne operacije:</t>
  </si>
  <si>
    <t>ОСТАЛИ ПОСЛОВНИ ПРИХОДИ (620 + 623 + 624 + 625 + 626 + 627 + 628)</t>
  </si>
  <si>
    <t>OTHER OPERATING INCOME (620 + 623 + 624 + 625 + 626 + 627 + 628)</t>
  </si>
  <si>
    <t>ТРОШКОВИ ПРОИЗВОДНИХ УСЛУГА (640 + 641 + 642 + 643 + 644 + 645 + 646 + 647)</t>
  </si>
  <si>
    <t>SERVICE EXPENSES (640 + 641 + 642 + 643 + 644 + 645 + 646 + 647)</t>
  </si>
  <si>
    <t>НЕМАТЕРИЈАЛНИ ТРОШКОВИ (650 + 653 + 654 + 655 + 656 + 657 + 658 + 659)</t>
  </si>
  <si>
    <t>NON-MATERIAL EXPENSES (650 + 653 + 654 + 655 + 656 + 657 + 658 + 659)</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</si>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</sst>
</file>

<file path=xl/styles.xml><?xml version="1.0" encoding="utf-8"?>
<styleSheet xmlns="http://schemas.openxmlformats.org/spreadsheetml/2006/main">
  <numFmts count="8">
    <numFmt numFmtId="164" formatCode="000"/>
    <numFmt numFmtId="165" formatCode="General;;"/>
    <numFmt numFmtId="166" formatCode="000;;"/>
    <numFmt numFmtId="167" formatCode="#,##0;;"/>
    <numFmt numFmtId="168" formatCode="#;;"/>
    <numFmt numFmtId="169" formatCode=";;;@"/>
    <numFmt numFmtId="170" formatCode="&quot;Da&quot;;\ \-\ ;\ &quot;Ne&quot;"/>
    <numFmt numFmtId="171" formatCode="#,##0.0000"/>
  </numFmts>
  <fonts count="52">
    <font>
      <sz val="10"/>
      <name val="Calibri"/>
      <family val="2"/>
    </font>
    <font>
      <sz val="11"/>
      <color indexed="8"/>
      <name val="Calibri"/>
      <family val="2"/>
    </font>
    <font>
      <sz val="11"/>
      <color indexed="8"/>
      <name val="Calibri"/>
      <family val="2"/>
    </font>
    <font>
      <sz val="11"/>
      <color indexed="8"/>
      <name val="Calibri"/>
      <family val="2"/>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indexed="52"/>
      <name val="Calibri"/>
      <family val="2"/>
      <charset val="238"/>
    </font>
    <font>
      <b/>
      <sz val="10"/>
      <color indexed="9"/>
      <name val="Calibri"/>
      <family val="2"/>
    </font>
    <font>
      <sz val="10"/>
      <color indexed="17"/>
      <name val="Calibri"/>
      <family val="2"/>
      <charset val="238"/>
    </font>
    <font>
      <b/>
      <sz val="11"/>
      <color indexed="61"/>
      <name val="Calibri"/>
      <family val="2"/>
    </font>
    <font>
      <b/>
      <sz val="14"/>
      <color indexed="61"/>
      <name val="Calibri"/>
      <family val="2"/>
    </font>
    <font>
      <sz val="11"/>
      <color indexed="10"/>
      <name val="Calibri"/>
      <family val="2"/>
    </font>
    <font>
      <sz val="11"/>
      <color indexed="10"/>
      <name val="Calibri"/>
      <family val="2"/>
    </font>
    <font>
      <b/>
      <sz val="11"/>
      <color indexed="8"/>
      <name val="Calibri"/>
      <family val="2"/>
    </font>
    <font>
      <b/>
      <sz val="12"/>
      <color indexed="8"/>
      <name val="Calibri"/>
      <family val="2"/>
    </font>
    <font>
      <sz val="9"/>
      <name val="Calibri"/>
      <family val="2"/>
    </font>
    <font>
      <sz val="10"/>
      <color indexed="8"/>
      <name val="Calibri"/>
      <family val="2"/>
    </font>
    <font>
      <sz val="8"/>
      <name val="Calibri"/>
      <family val="2"/>
    </font>
    <font>
      <sz val="10"/>
      <color indexed="8"/>
      <name val="Times New Roman"/>
      <family val="1"/>
    </font>
    <font>
      <sz val="10"/>
      <color indexed="8"/>
      <name val="Calibri"/>
      <family val="2"/>
    </font>
    <font>
      <b/>
      <sz val="10"/>
      <color indexed="8"/>
      <name val="Calibri"/>
      <family val="2"/>
    </font>
    <font>
      <sz val="9"/>
      <color indexed="8"/>
      <name val="Calibri"/>
      <family val="2"/>
    </font>
    <font>
      <b/>
      <sz val="9"/>
      <color indexed="9"/>
      <name val="Calibri"/>
      <family val="2"/>
    </font>
    <font>
      <b/>
      <sz val="10"/>
      <color indexed="52"/>
      <name val="Calibri"/>
      <family val="2"/>
    </font>
    <font>
      <b/>
      <sz val="10"/>
      <color indexed="8"/>
      <name val="Times New Roman"/>
      <family val="1"/>
    </font>
    <font>
      <u/>
      <sz val="10"/>
      <name val="Calibri"/>
      <family val="2"/>
    </font>
    <font>
      <sz val="10"/>
      <name val="Calibri"/>
      <family val="2"/>
    </font>
    <font>
      <sz val="10"/>
      <name val="Calibri"/>
      <family val="2"/>
      <charset val="238"/>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indexed="10"/>
      <name val="Calibri"/>
      <family val="2"/>
    </font>
    <font>
      <sz val="11"/>
      <color indexed="10"/>
      <name val="Calibri"/>
      <family val="2"/>
    </font>
    <font>
      <b/>
      <sz val="10"/>
      <color indexed="10"/>
      <name val="Calibri"/>
      <family val="2"/>
    </font>
    <font>
      <sz val="11"/>
      <color indexed="8"/>
      <name val="Calibri"/>
      <family val="2"/>
      <charset val="238"/>
    </font>
    <font>
      <sz val="8"/>
      <name val="Tahoma"/>
      <family val="2"/>
      <charset val="238"/>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rgb="FF3F3F76"/>
      <name val="Calibri"/>
      <family val="2"/>
      <charset val="238"/>
      <scheme val="minor"/>
    </font>
    <font>
      <sz val="11"/>
      <color theme="1"/>
      <name val="Calibri"/>
      <family val="2"/>
      <scheme val="minor"/>
    </font>
  </fonts>
  <fills count="18">
    <fill>
      <patternFill patternType="none"/>
    </fill>
    <fill>
      <patternFill patternType="gray125"/>
    </fill>
    <fill>
      <patternFill patternType="solid">
        <fgColor indexed="45"/>
      </patternFill>
    </fill>
    <fill>
      <patternFill patternType="lightGray">
        <fgColor indexed="22"/>
      </patternFill>
    </fill>
    <fill>
      <patternFill patternType="solid">
        <fgColor indexed="61"/>
        <bgColor indexed="64"/>
      </patternFill>
    </fill>
    <fill>
      <patternFill patternType="solid">
        <fgColor indexed="45"/>
        <bgColor indexed="64"/>
      </patternFill>
    </fill>
    <fill>
      <patternFill patternType="solid">
        <fgColor indexed="13"/>
        <bgColor indexed="64"/>
      </patternFill>
    </fill>
    <fill>
      <patternFill patternType="solid">
        <fgColor indexed="49"/>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indexed="9"/>
        <bgColor indexed="64"/>
      </patternFill>
    </fill>
    <fill>
      <patternFill patternType="solid">
        <fgColor indexed="65"/>
      </patternFill>
    </fill>
    <fill>
      <patternFill patternType="solid">
        <fgColor rgb="FFF2F2F2"/>
      </patternFill>
    </fill>
    <fill>
      <patternFill patternType="solid">
        <fgColor rgb="FFC6EFCE"/>
      </patternFill>
    </fill>
    <fill>
      <patternFill patternType="solid">
        <fgColor rgb="FFFFCC99"/>
      </patternFill>
    </fill>
    <fill>
      <patternFill patternType="lightGray">
        <fgColor rgb="FFDDDDDD"/>
      </patternFill>
    </fill>
    <fill>
      <patternFill patternType="lightGray">
        <fgColor rgb="FFC0C0C0"/>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45"/>
      </left>
      <right style="thin">
        <color indexed="45"/>
      </right>
      <top style="thin">
        <color indexed="45"/>
      </top>
      <bottom style="thin">
        <color indexed="45"/>
      </bottom>
      <diagonal/>
    </border>
    <border>
      <left style="thin">
        <color indexed="45"/>
      </left>
      <right style="thin">
        <color indexed="64"/>
      </right>
      <top style="thin">
        <color indexed="45"/>
      </top>
      <bottom style="thin">
        <color indexed="45"/>
      </bottom>
      <diagonal/>
    </border>
    <border>
      <left/>
      <right/>
      <top/>
      <bottom style="dashed">
        <color indexed="64"/>
      </bottom>
      <diagonal/>
    </border>
    <border>
      <left/>
      <right style="thin">
        <color indexed="22"/>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45"/>
      </right>
      <top style="thin">
        <color indexed="45"/>
      </top>
      <bottom/>
      <diagonal/>
    </border>
    <border>
      <left style="thin">
        <color indexed="45"/>
      </left>
      <right style="thin">
        <color indexed="45"/>
      </right>
      <top style="thin">
        <color indexed="45"/>
      </top>
      <bottom/>
      <diagonal/>
    </border>
    <border>
      <left style="thin">
        <color indexed="64"/>
      </left>
      <right style="thin">
        <color indexed="22"/>
      </right>
      <top style="thin">
        <color indexed="64"/>
      </top>
      <bottom style="thin">
        <color indexed="22"/>
      </bottom>
      <diagonal/>
    </border>
    <border>
      <left style="thin">
        <color indexed="45"/>
      </left>
      <right style="thin">
        <color indexed="64"/>
      </right>
      <top style="thin">
        <color indexed="45"/>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ck">
        <color indexed="9"/>
      </bottom>
      <diagonal/>
    </border>
    <border>
      <left style="thin">
        <color indexed="9"/>
      </left>
      <right/>
      <top/>
      <bottom style="thick">
        <color indexed="9"/>
      </bottom>
      <diagonal/>
    </border>
    <border>
      <left style="thin">
        <color indexed="9"/>
      </left>
      <right style="thin">
        <color indexed="9"/>
      </right>
      <top/>
      <bottom style="thick">
        <color indexed="9"/>
      </bottom>
      <diagonal/>
    </border>
    <border>
      <left style="thin">
        <color indexed="9"/>
      </left>
      <right/>
      <top style="thin">
        <color indexed="9"/>
      </top>
      <bottom/>
      <diagonal/>
    </border>
    <border>
      <left/>
      <right/>
      <top style="thin">
        <color indexed="64"/>
      </top>
      <bottom/>
      <diagonal/>
    </border>
    <border>
      <left style="thin">
        <color indexed="22"/>
      </left>
      <right style="thin">
        <color indexed="22"/>
      </right>
      <top style="thin">
        <color indexed="22"/>
      </top>
      <bottom style="thin">
        <color indexed="64"/>
      </bottom>
      <diagonal/>
    </border>
    <border>
      <left/>
      <right style="thin">
        <color indexed="9"/>
      </right>
      <top/>
      <bottom/>
      <diagonal/>
    </border>
    <border>
      <left style="thin">
        <color indexed="9"/>
      </left>
      <right/>
      <top/>
      <bottom/>
      <diagonal/>
    </border>
    <border>
      <left style="thin">
        <color indexed="9"/>
      </left>
      <right style="thin">
        <color indexed="9"/>
      </right>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45"/>
      </left>
      <right style="thin">
        <color indexed="45"/>
      </right>
      <top style="thin">
        <color indexed="45"/>
      </top>
      <bottom style="thin">
        <color indexed="64"/>
      </bottom>
      <diagonal/>
    </border>
    <border>
      <left style="thin">
        <color indexed="45"/>
      </left>
      <right style="thin">
        <color indexed="64"/>
      </right>
      <top style="thin">
        <color indexed="45"/>
      </top>
      <bottom style="thin">
        <color indexed="64"/>
      </bottom>
      <diagonal/>
    </border>
    <border>
      <left/>
      <right/>
      <top/>
      <bottom style="thin">
        <color indexed="8"/>
      </bottom>
      <diagonal/>
    </border>
    <border>
      <left/>
      <right style="thin">
        <color indexed="64"/>
      </right>
      <top style="thin">
        <color indexed="22"/>
      </top>
      <bottom style="thin">
        <color indexed="64"/>
      </bottom>
      <diagonal/>
    </border>
    <border>
      <left style="thin">
        <color indexed="45"/>
      </left>
      <right style="thin">
        <color indexed="45"/>
      </right>
      <top style="thin">
        <color indexed="45"/>
      </top>
      <bottom style="thin">
        <color indexed="8"/>
      </bottom>
      <diagonal/>
    </border>
    <border>
      <left style="thin">
        <color indexed="45"/>
      </left>
      <right style="thin">
        <color indexed="64"/>
      </right>
      <top style="thin">
        <color indexed="45"/>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bottom/>
      <diagonal/>
    </border>
    <border>
      <left style="thin">
        <color indexed="22"/>
      </left>
      <right/>
      <top style="thin">
        <color indexed="22"/>
      </top>
      <bottom style="thin">
        <color indexed="64"/>
      </bottom>
      <diagonal/>
    </border>
    <border>
      <left/>
      <right/>
      <top style="thin">
        <color indexed="22"/>
      </top>
      <bottom style="thin">
        <color indexed="22"/>
      </bottom>
      <diagonal/>
    </border>
    <border>
      <left/>
      <right style="thin">
        <color indexed="22"/>
      </right>
      <top style="thin">
        <color indexed="22"/>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top/>
      <bottom style="thin">
        <color indexed="22"/>
      </bottom>
      <diagonal/>
    </border>
    <border>
      <left/>
      <right/>
      <top style="thin">
        <color indexed="22"/>
      </top>
      <bottom/>
      <diagonal/>
    </border>
    <border>
      <left style="thin">
        <color indexed="22"/>
      </left>
      <right style="thin">
        <color indexed="22"/>
      </right>
      <top style="thin">
        <color indexed="64"/>
      </top>
      <bottom/>
      <diagonal/>
    </border>
    <border>
      <left style="thin">
        <color indexed="64"/>
      </left>
      <right style="thin">
        <color indexed="22"/>
      </right>
      <top style="thin">
        <color indexed="64"/>
      </top>
      <bottom/>
      <diagonal/>
    </border>
    <border>
      <left style="thin">
        <color indexed="64"/>
      </left>
      <right style="thin">
        <color indexed="22"/>
      </right>
      <top/>
      <bottom/>
      <diagonal/>
    </border>
    <border>
      <left style="thin">
        <color indexed="22"/>
      </left>
      <right style="thin">
        <color indexed="64"/>
      </right>
      <top style="thin">
        <color indexed="64"/>
      </top>
      <bottom style="thin">
        <color indexed="22"/>
      </bottom>
      <diagonal/>
    </border>
    <border>
      <left/>
      <right/>
      <top style="thin">
        <color indexed="22"/>
      </top>
      <bottom style="thin">
        <color indexed="64"/>
      </bottom>
      <diagonal/>
    </border>
    <border>
      <left style="thin">
        <color indexed="22"/>
      </left>
      <right style="thin">
        <color indexed="64"/>
      </right>
      <top style="thin">
        <color indexed="64"/>
      </top>
      <bottom/>
      <diagonal/>
    </border>
    <border>
      <left style="thin">
        <color indexed="45"/>
      </left>
      <right style="thin">
        <color indexed="45"/>
      </right>
      <top style="thin">
        <color indexed="64"/>
      </top>
      <bottom/>
      <diagonal/>
    </border>
    <border>
      <left style="thin">
        <color indexed="45"/>
      </left>
      <right style="thin">
        <color indexed="45"/>
      </right>
      <top/>
      <bottom style="thin">
        <color indexed="45"/>
      </bottom>
      <diagonal/>
    </border>
    <border>
      <left style="thin">
        <color indexed="45"/>
      </left>
      <right/>
      <top style="thin">
        <color indexed="64"/>
      </top>
      <bottom style="thin">
        <color indexed="45"/>
      </bottom>
      <diagonal/>
    </border>
    <border>
      <left/>
      <right style="thin">
        <color indexed="64"/>
      </right>
      <top style="thin">
        <color indexed="64"/>
      </top>
      <bottom style="thin">
        <color indexed="45"/>
      </bottom>
      <diagonal/>
    </border>
    <border>
      <left style="thin">
        <color indexed="64"/>
      </left>
      <right style="thin">
        <color indexed="45"/>
      </right>
      <top style="thin">
        <color indexed="64"/>
      </top>
      <bottom/>
      <diagonal/>
    </border>
    <border>
      <left style="thin">
        <color indexed="64"/>
      </left>
      <right style="thin">
        <color indexed="45"/>
      </right>
      <top/>
      <bottom style="thin">
        <color indexed="45"/>
      </bottom>
      <diagonal/>
    </border>
    <border>
      <left style="thin">
        <color indexed="45"/>
      </left>
      <right/>
      <top style="thin">
        <color indexed="64"/>
      </top>
      <bottom/>
      <diagonal/>
    </border>
    <border>
      <left/>
      <right style="thin">
        <color indexed="45"/>
      </right>
      <top style="thin">
        <color indexed="64"/>
      </top>
      <bottom/>
      <diagonal/>
    </border>
    <border>
      <left style="thin">
        <color indexed="45"/>
      </left>
      <right/>
      <top/>
      <bottom style="thin">
        <color indexed="45"/>
      </bottom>
      <diagonal/>
    </border>
    <border>
      <left/>
      <right/>
      <top/>
      <bottom style="thin">
        <color indexed="45"/>
      </bottom>
      <diagonal/>
    </border>
    <border>
      <left/>
      <right style="thin">
        <color indexed="45"/>
      </right>
      <top/>
      <bottom style="thin">
        <color indexed="45"/>
      </bottom>
      <diagonal/>
    </border>
    <border>
      <left style="thin">
        <color indexed="45"/>
      </left>
      <right/>
      <top style="thin">
        <color indexed="45"/>
      </top>
      <bottom style="thin">
        <color indexed="64"/>
      </bottom>
      <diagonal/>
    </border>
    <border>
      <left/>
      <right/>
      <top style="thin">
        <color indexed="45"/>
      </top>
      <bottom style="thin">
        <color indexed="64"/>
      </bottom>
      <diagonal/>
    </border>
    <border>
      <left/>
      <right style="thin">
        <color indexed="45"/>
      </right>
      <top style="thin">
        <color indexed="45"/>
      </top>
      <bottom style="thin">
        <color indexed="64"/>
      </bottom>
      <diagonal/>
    </border>
    <border>
      <left/>
      <right/>
      <top style="thin">
        <color indexed="64"/>
      </top>
      <bottom style="thin">
        <color indexed="22"/>
      </bottom>
      <diagonal/>
    </border>
    <border>
      <left/>
      <right style="thin">
        <color indexed="22"/>
      </right>
      <top style="thin">
        <color indexed="64"/>
      </top>
      <bottom style="thin">
        <color indexed="22"/>
      </bottom>
      <diagonal/>
    </border>
    <border>
      <left style="thin">
        <color indexed="45"/>
      </left>
      <right style="thin">
        <color indexed="45"/>
      </right>
      <top style="thin">
        <color indexed="64"/>
      </top>
      <bottom style="thin">
        <color indexed="45"/>
      </bottom>
      <diagonal/>
    </border>
    <border>
      <left/>
      <right style="thin">
        <color indexed="45"/>
      </right>
      <top style="thin">
        <color indexed="64"/>
      </top>
      <bottom style="thin">
        <color indexed="45"/>
      </bottom>
      <diagonal/>
    </border>
    <border>
      <left style="thin">
        <color indexed="64"/>
      </left>
      <right style="thin">
        <color indexed="45"/>
      </right>
      <top style="thin">
        <color indexed="64"/>
      </top>
      <bottom style="thin">
        <color indexed="45"/>
      </bottom>
      <diagonal/>
    </border>
    <border>
      <left style="thin">
        <color indexed="64"/>
      </left>
      <right style="thin">
        <color indexed="45"/>
      </right>
      <top style="thin">
        <color indexed="45"/>
      </top>
      <bottom style="thin">
        <color indexed="45"/>
      </bottom>
      <diagonal/>
    </border>
    <border>
      <left style="thin">
        <color indexed="45"/>
      </left>
      <right style="thin">
        <color indexed="64"/>
      </right>
      <top style="thin">
        <color indexed="64"/>
      </top>
      <bottom style="thin">
        <color indexed="45"/>
      </bottom>
      <diagonal/>
    </border>
    <border>
      <left style="thin">
        <color indexed="8"/>
      </left>
      <right/>
      <top style="thin">
        <color indexed="64"/>
      </top>
      <bottom style="thin">
        <color indexed="22"/>
      </bottom>
      <diagonal/>
    </border>
    <border>
      <left style="thin">
        <color indexed="22"/>
      </left>
      <right/>
      <top style="thin">
        <color indexed="8"/>
      </top>
      <bottom style="thin">
        <color indexed="22"/>
      </bottom>
      <diagonal/>
    </border>
    <border>
      <left/>
      <right/>
      <top style="thin">
        <color indexed="8"/>
      </top>
      <bottom style="thin">
        <color indexed="22"/>
      </bottom>
      <diagonal/>
    </border>
    <border>
      <left/>
      <right style="thin">
        <color indexed="22"/>
      </right>
      <top style="thin">
        <color indexed="8"/>
      </top>
      <bottom style="thin">
        <color indexed="22"/>
      </bottom>
      <diagonal/>
    </border>
    <border>
      <left style="thin">
        <color indexed="22"/>
      </left>
      <right style="thin">
        <color indexed="22"/>
      </right>
      <top style="thin">
        <color indexed="8"/>
      </top>
      <bottom style="thin">
        <color indexed="22"/>
      </bottom>
      <diagonal/>
    </border>
    <border>
      <left style="thin">
        <color indexed="22"/>
      </left>
      <right style="thin">
        <color indexed="8"/>
      </right>
      <top style="thin">
        <color indexed="8"/>
      </top>
      <bottom/>
      <diagonal/>
    </border>
    <border>
      <left style="thin">
        <color indexed="22"/>
      </left>
      <right style="thin">
        <color indexed="8"/>
      </right>
      <top/>
      <bottom style="thin">
        <color indexed="22"/>
      </bottom>
      <diagonal/>
    </border>
    <border>
      <left style="thin">
        <color indexed="22"/>
      </left>
      <right style="thin">
        <color indexed="22"/>
      </right>
      <top style="thin">
        <color indexed="8"/>
      </top>
      <bottom/>
      <diagonal/>
    </border>
    <border>
      <left style="thin">
        <color indexed="8"/>
      </left>
      <right/>
      <top style="thin">
        <color indexed="22"/>
      </top>
      <bottom style="thin">
        <color indexed="22"/>
      </bottom>
      <diagonal/>
    </border>
    <border>
      <left style="thin">
        <color indexed="8"/>
      </left>
      <right/>
      <top style="thin">
        <color indexed="22"/>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22"/>
      </right>
      <top style="thin">
        <color indexed="8"/>
      </top>
      <bottom/>
      <diagonal/>
    </border>
    <border>
      <left style="thin">
        <color indexed="8"/>
      </left>
      <right/>
      <top/>
      <bottom style="thin">
        <color indexed="22"/>
      </bottom>
      <diagonal/>
    </border>
    <border>
      <left style="thin">
        <color indexed="8"/>
      </left>
      <right/>
      <top style="thin">
        <color indexed="22"/>
      </top>
      <bottom style="thin">
        <color indexed="8"/>
      </bottom>
      <diagonal/>
    </border>
    <border>
      <left/>
      <right/>
      <top style="thin">
        <color indexed="22"/>
      </top>
      <bottom style="thin">
        <color indexed="8"/>
      </bottom>
      <diagonal/>
    </border>
    <border>
      <left/>
      <right style="thin">
        <color indexed="22"/>
      </right>
      <top style="thin">
        <color indexed="22"/>
      </top>
      <bottom style="thin">
        <color indexed="8"/>
      </bottom>
      <diagonal/>
    </border>
    <border>
      <left style="thin">
        <color rgb="FF7F7F7F"/>
      </left>
      <right style="thin">
        <color rgb="FF7F7F7F"/>
      </right>
      <top style="thin">
        <color rgb="FF7F7F7F"/>
      </top>
      <bottom style="thin">
        <color rgb="FF7F7F7F"/>
      </bottom>
      <diagonal/>
    </border>
  </borders>
  <cellStyleXfs count="14">
    <xf numFmtId="0" fontId="0" fillId="0" borderId="0" applyNumberFormat="0" applyFill="0" applyBorder="0" applyAlignment="0"/>
    <xf numFmtId="166" fontId="8" fillId="0" borderId="0" applyFill="0" applyBorder="0">
      <alignment horizontal="center" vertical="center"/>
      <protection hidden="1"/>
    </xf>
    <xf numFmtId="0" fontId="47" fillId="13" borderId="126" applyNumberFormat="0" applyAlignment="0" applyProtection="0"/>
    <xf numFmtId="0" fontId="48" fillId="14" borderId="0" applyNumberFormat="0" applyBorder="0" applyAlignment="0" applyProtection="0"/>
    <xf numFmtId="168" fontId="8" fillId="0" borderId="0" applyFill="0" applyBorder="0">
      <alignment horizontal="center" vertical="center" wrapText="1"/>
      <protection hidden="1"/>
    </xf>
    <xf numFmtId="0" fontId="49" fillId="0" borderId="0" applyNumberFormat="0" applyFill="0" applyBorder="0" applyAlignment="0" applyProtection="0"/>
    <xf numFmtId="0" fontId="50" fillId="15" borderId="126" applyNumberFormat="0" applyAlignment="0" applyProtection="0"/>
    <xf numFmtId="0" fontId="45" fillId="0" borderId="0"/>
    <xf numFmtId="0" fontId="51" fillId="16" borderId="2">
      <alignment horizontal="center" vertical="center"/>
      <protection locked="0"/>
    </xf>
    <xf numFmtId="169" fontId="9" fillId="16" borderId="3">
      <alignment horizontal="left" indent="1"/>
      <protection locked="0"/>
    </xf>
    <xf numFmtId="0" fontId="51" fillId="16" borderId="4">
      <alignment horizontal="left" vertical="center"/>
      <protection locked="0"/>
    </xf>
    <xf numFmtId="49" fontId="8" fillId="0" borderId="4" applyFill="0">
      <alignment horizontal="left" indent="1"/>
      <protection hidden="1"/>
    </xf>
    <xf numFmtId="0" fontId="8" fillId="0" borderId="4" applyFill="0">
      <alignment horizontal="left" indent="1"/>
      <protection hidden="1"/>
    </xf>
    <xf numFmtId="49" fontId="8" fillId="17" borderId="5">
      <alignment horizontal="left" indent="1"/>
      <protection locked="0"/>
    </xf>
  </cellStyleXfs>
  <cellXfs count="73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5"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5" fillId="4" borderId="6" xfId="0" applyFont="1" applyFill="1" applyBorder="1" applyAlignment="1" applyProtection="1">
      <alignment horizontal="center" vertical="center"/>
      <protection hidden="1"/>
    </xf>
    <xf numFmtId="0" fontId="15" fillId="4" borderId="6" xfId="0" applyFont="1" applyFill="1" applyBorder="1" applyAlignment="1" applyProtection="1">
      <alignment horizontal="center" vertical="center" wrapText="1"/>
      <protection hidden="1"/>
    </xf>
    <xf numFmtId="0" fontId="15" fillId="4" borderId="7" xfId="0" applyFont="1" applyFill="1" applyBorder="1" applyAlignment="1" applyProtection="1">
      <alignment horizontal="center"/>
      <protection hidden="1"/>
    </xf>
    <xf numFmtId="0" fontId="15" fillId="4" borderId="6" xfId="0" applyFont="1" applyFill="1" applyBorder="1" applyAlignment="1" applyProtection="1">
      <alignment horizontal="center"/>
      <protection hidden="1"/>
    </xf>
    <xf numFmtId="0" fontId="15" fillId="4"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3" fontId="7" fillId="5" borderId="9" xfId="0" applyNumberFormat="1" applyFont="1" applyFill="1" applyBorder="1" applyAlignment="1" applyProtection="1">
      <alignment horizontal="right" vertical="center"/>
      <protection hidden="1"/>
    </xf>
    <xf numFmtId="3" fontId="7" fillId="5" borderId="1" xfId="0" applyNumberFormat="1" applyFont="1" applyFill="1" applyBorder="1" applyAlignment="1" applyProtection="1">
      <alignment horizontal="right" vertical="center"/>
      <protection hidden="1"/>
    </xf>
    <xf numFmtId="3" fontId="7" fillId="0" borderId="1" xfId="0" applyNumberFormat="1" applyFont="1" applyBorder="1" applyAlignment="1" applyProtection="1">
      <alignment horizontal="right" vertical="center"/>
      <protection hidden="1"/>
    </xf>
    <xf numFmtId="3" fontId="7" fillId="0" borderId="10" xfId="0" applyNumberFormat="1" applyFont="1" applyBorder="1" applyAlignment="1" applyProtection="1">
      <alignment horizontal="right" vertical="center"/>
      <protection hidden="1"/>
    </xf>
    <xf numFmtId="3" fontId="7" fillId="5" borderId="10" xfId="0" applyNumberFormat="1" applyFont="1" applyFill="1" applyBorder="1" applyAlignment="1" applyProtection="1">
      <alignment horizontal="right" vertical="center"/>
      <protection hidden="1"/>
    </xf>
    <xf numFmtId="0" fontId="48" fillId="14"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0" fillId="0" borderId="0" xfId="0" applyFont="1" applyProtection="1">
      <protection hidden="1"/>
    </xf>
    <xf numFmtId="0" fontId="15" fillId="4" borderId="11"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3" fontId="0" fillId="0" borderId="0" xfId="0" applyNumberFormat="1" applyFill="1" applyBorder="1" applyAlignment="1" applyProtection="1">
      <alignment horizontal="left" vertical="center" indent="9"/>
      <protection hidden="1"/>
    </xf>
    <xf numFmtId="3" fontId="0" fillId="0" borderId="13" xfId="0" applyNumberFormat="1" applyFill="1" applyBorder="1" applyAlignment="1" applyProtection="1">
      <alignment horizontal="left" vertical="center"/>
      <protection hidden="1"/>
    </xf>
    <xf numFmtId="0" fontId="0" fillId="0" borderId="13"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7" fillId="0" borderId="14" xfId="0" applyNumberFormat="1" applyFont="1" applyBorder="1" applyAlignment="1" applyProtection="1">
      <alignment horizontal="right" vertical="center"/>
      <protection hidden="1"/>
    </xf>
    <xf numFmtId="3" fontId="7" fillId="0" borderId="15" xfId="0" applyNumberFormat="1" applyFont="1" applyBorder="1" applyAlignment="1" applyProtection="1">
      <alignment horizontal="right" vertical="center"/>
      <protection hidden="1"/>
    </xf>
    <xf numFmtId="3" fontId="7" fillId="5" borderId="14" xfId="0" applyNumberFormat="1" applyFont="1" applyFill="1" applyBorder="1" applyAlignment="1" applyProtection="1">
      <alignment horizontal="right" vertical="center"/>
      <protection hidden="1"/>
    </xf>
    <xf numFmtId="3" fontId="7" fillId="5" borderId="15" xfId="0" applyNumberFormat="1" applyFont="1" applyFill="1" applyBorder="1" applyAlignment="1" applyProtection="1">
      <alignment horizontal="right" vertical="center"/>
      <protection hidden="1"/>
    </xf>
    <xf numFmtId="0" fontId="0" fillId="0" borderId="0" xfId="0" applyNumberFormat="1" applyFill="1"/>
    <xf numFmtId="0" fontId="14" fillId="13" borderId="126" xfId="2" applyFont="1"/>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8" fontId="8" fillId="5" borderId="16" xfId="4" applyFill="1" applyBorder="1">
      <alignment horizontal="center" vertical="center" wrapText="1"/>
      <protection hidden="1"/>
    </xf>
    <xf numFmtId="166" fontId="8" fillId="5" borderId="1" xfId="1" applyFill="1" applyBorder="1">
      <alignment horizontal="center" vertical="center"/>
      <protection hidden="1"/>
    </xf>
    <xf numFmtId="3" fontId="7" fillId="5" borderId="17" xfId="0" applyNumberFormat="1" applyFont="1" applyFill="1" applyBorder="1" applyAlignment="1" applyProtection="1">
      <alignment horizontal="right" vertical="center"/>
      <protection hidden="1"/>
    </xf>
    <xf numFmtId="168" fontId="8" fillId="0" borderId="16" xfId="4" applyBorder="1">
      <alignment horizontal="center" vertical="center" wrapText="1"/>
      <protection hidden="1"/>
    </xf>
    <xf numFmtId="166" fontId="8" fillId="0" borderId="1" xfId="1" applyFill="1" applyBorder="1">
      <alignment horizontal="center" vertical="center"/>
      <protection hidden="1"/>
    </xf>
    <xf numFmtId="3" fontId="7" fillId="0" borderId="17" xfId="0" applyNumberFormat="1" applyFont="1" applyBorder="1" applyAlignment="1" applyProtection="1">
      <alignment horizontal="right" vertical="center"/>
      <protection hidden="1"/>
    </xf>
    <xf numFmtId="168" fontId="8" fillId="0" borderId="16" xfId="4" applyFill="1" applyBorder="1">
      <alignment horizontal="center" vertical="center" wrapText="1"/>
      <protection hidden="1"/>
    </xf>
    <xf numFmtId="3" fontId="7" fillId="0" borderId="1" xfId="0" applyNumberFormat="1" applyFont="1" applyFill="1" applyBorder="1" applyAlignment="1" applyProtection="1">
      <alignment horizontal="right" vertical="center"/>
      <protection hidden="1"/>
    </xf>
    <xf numFmtId="3" fontId="7" fillId="0" borderId="17" xfId="0" applyNumberFormat="1" applyFont="1" applyFill="1" applyBorder="1" applyAlignment="1" applyProtection="1">
      <alignment horizontal="right" vertical="center"/>
      <protection hidden="1"/>
    </xf>
    <xf numFmtId="0" fontId="15" fillId="4" borderId="18" xfId="0" applyFont="1" applyFill="1" applyBorder="1" applyAlignment="1" applyProtection="1">
      <alignment horizontal="center"/>
      <protection hidden="1"/>
    </xf>
    <xf numFmtId="0" fontId="15" fillId="4" borderId="19" xfId="0" applyFont="1" applyFill="1" applyBorder="1" applyAlignment="1" applyProtection="1">
      <alignment horizontal="center"/>
      <protection hidden="1"/>
    </xf>
    <xf numFmtId="168" fontId="8" fillId="0" borderId="20" xfId="4" applyBorder="1">
      <alignment horizontal="center" vertical="center" wrapText="1"/>
      <protection hidden="1"/>
    </xf>
    <xf numFmtId="168" fontId="8" fillId="5" borderId="20" xfId="4" applyFill="1" applyBorder="1">
      <alignment horizontal="center" vertical="center" wrapText="1"/>
      <protection hidden="1"/>
    </xf>
    <xf numFmtId="3" fontId="7" fillId="0" borderId="1" xfId="0" applyNumberFormat="1" applyFont="1" applyFill="1" applyBorder="1" applyAlignment="1" applyProtection="1">
      <alignment horizontal="right" vertical="center" wrapText="1"/>
      <protection hidden="1"/>
    </xf>
    <xf numFmtId="3" fontId="7" fillId="0" borderId="17" xfId="0" applyNumberFormat="1" applyFont="1" applyFill="1" applyBorder="1" applyAlignment="1" applyProtection="1">
      <alignment horizontal="right" vertical="center" wrapText="1"/>
      <protection hidden="1"/>
    </xf>
    <xf numFmtId="166" fontId="8" fillId="0" borderId="1" xfId="1" applyBorder="1">
      <alignment horizontal="center" vertical="center"/>
      <protection hidden="1"/>
    </xf>
    <xf numFmtId="0" fontId="15" fillId="4" borderId="19" xfId="0" quotePrefix="1" applyFont="1" applyFill="1" applyBorder="1" applyAlignment="1" applyProtection="1">
      <alignment horizontal="center"/>
      <protection hidden="1"/>
    </xf>
    <xf numFmtId="0" fontId="15" fillId="4" borderId="21"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7" fillId="5" borderId="1" xfId="0" applyNumberFormat="1" applyFont="1" applyFill="1" applyBorder="1" applyAlignment="1" applyProtection="1">
      <alignment horizontal="right" vertical="center"/>
      <protection locked="0"/>
    </xf>
    <xf numFmtId="3" fontId="7" fillId="5" borderId="17" xfId="0" applyNumberFormat="1" applyFont="1" applyFill="1" applyBorder="1" applyAlignment="1" applyProtection="1">
      <alignment horizontal="right" vertical="center"/>
      <protection locked="0"/>
    </xf>
    <xf numFmtId="0" fontId="51" fillId="16" borderId="2" xfId="8">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7" fillId="0" borderId="0" xfId="0" applyFont="1" applyAlignment="1" applyProtection="1">
      <alignment horizontal="center" vertical="center"/>
      <protection hidden="1"/>
    </xf>
    <xf numFmtId="0" fontId="49" fillId="0" borderId="0" xfId="5" applyAlignment="1" applyProtection="1">
      <alignment horizontal="left"/>
      <protection hidden="1"/>
    </xf>
    <xf numFmtId="0" fontId="49" fillId="0" borderId="0" xfId="5" applyProtection="1">
      <protection hidden="1"/>
    </xf>
    <xf numFmtId="0" fontId="6" fillId="5" borderId="22" xfId="0" applyFont="1" applyFill="1" applyBorder="1" applyAlignment="1" applyProtection="1">
      <alignment horizontal="right" vertical="center" indent="1"/>
      <protection hidden="1"/>
    </xf>
    <xf numFmtId="0" fontId="51" fillId="16" borderId="23" xfId="8" applyBorder="1">
      <alignment horizontal="center" vertical="center"/>
      <protection locked="0"/>
    </xf>
    <xf numFmtId="0" fontId="9" fillId="3" borderId="5" xfId="0" applyNumberFormat="1" applyFont="1" applyFill="1" applyBorder="1" applyAlignment="1">
      <alignment horizontal="left" vertical="center" indent="1"/>
    </xf>
    <xf numFmtId="0" fontId="9" fillId="0" borderId="0" xfId="0" applyNumberFormat="1" applyFont="1" applyAlignment="1">
      <alignment horizontal="left" vertical="center" indent="1"/>
    </xf>
    <xf numFmtId="0" fontId="9" fillId="3"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Font="1" applyBorder="1" applyAlignment="1" applyProtection="1">
      <alignment vertical="center"/>
      <protection locked="0" hidden="1"/>
    </xf>
    <xf numFmtId="0" fontId="6"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51" fillId="16" borderId="24" xfId="10" applyBorder="1" applyProtection="1">
      <alignment horizontal="left" vertical="center"/>
      <protection hidden="1"/>
    </xf>
    <xf numFmtId="0" fontId="51" fillId="16" borderId="25" xfId="10" applyBorder="1" applyProtection="1">
      <alignment horizontal="left" vertical="center"/>
      <protection hidden="1"/>
    </xf>
    <xf numFmtId="0" fontId="6" fillId="0" borderId="0" xfId="0" applyFont="1" applyBorder="1" applyAlignment="1" applyProtection="1">
      <alignment vertical="center"/>
      <protection hidden="1"/>
    </xf>
    <xf numFmtId="0" fontId="0" fillId="0" borderId="0" xfId="0" applyFill="1" applyBorder="1"/>
    <xf numFmtId="0" fontId="0" fillId="0" borderId="26" xfId="0" applyFill="1" applyBorder="1"/>
    <xf numFmtId="0" fontId="0" fillId="0" borderId="27" xfId="0" applyFill="1" applyBorder="1"/>
    <xf numFmtId="0" fontId="0" fillId="0" borderId="28" xfId="0" applyFill="1" applyBorder="1" applyAlignment="1">
      <alignment horizontal="left" vertical="center"/>
    </xf>
    <xf numFmtId="0" fontId="0" fillId="0" borderId="29" xfId="0" applyFill="1" applyBorder="1" applyAlignment="1">
      <alignment horizontal="left" vertical="center"/>
    </xf>
    <xf numFmtId="0" fontId="0" fillId="0" borderId="0"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5" fillId="0" borderId="0" xfId="0" applyFont="1" applyBorder="1" applyAlignment="1">
      <alignment horizontal="right" vertical="center"/>
    </xf>
    <xf numFmtId="0" fontId="12" fillId="0" borderId="0" xfId="0" applyFont="1" applyBorder="1" applyAlignment="1" applyProtection="1">
      <alignment horizontal="left" vertical="center" wrapText="1" indent="1"/>
      <protection hidden="1"/>
    </xf>
    <xf numFmtId="0" fontId="12" fillId="0" borderId="0" xfId="0" applyFont="1" applyBorder="1" applyAlignment="1" applyProtection="1">
      <alignment horizontal="left" indent="1"/>
      <protection hidden="1"/>
    </xf>
    <xf numFmtId="0" fontId="12" fillId="0" borderId="0" xfId="0" applyFont="1" applyBorder="1" applyAlignment="1" applyProtection="1">
      <alignment horizontal="left" vertical="center" indent="1"/>
      <protection hidden="1"/>
    </xf>
    <xf numFmtId="0" fontId="0" fillId="0" borderId="0" xfId="0" applyProtection="1"/>
    <xf numFmtId="0" fontId="0" fillId="0" borderId="2" xfId="0" applyFont="1" applyBorder="1" applyAlignment="1" applyProtection="1">
      <alignment horizontal="center" vertical="center"/>
      <protection hidden="1"/>
    </xf>
    <xf numFmtId="166" fontId="8" fillId="0" borderId="1" xfId="1" applyFont="1" applyFill="1" applyBorder="1">
      <alignment horizontal="center" vertical="center"/>
      <protection hidden="1"/>
    </xf>
    <xf numFmtId="166" fontId="8" fillId="5" borderId="1" xfId="1" applyFont="1" applyFill="1" applyBorder="1">
      <alignment horizontal="center" vertical="center"/>
      <protection hidden="1"/>
    </xf>
    <xf numFmtId="0" fontId="8" fillId="0" borderId="32" xfId="0" applyFont="1" applyBorder="1" applyAlignment="1" applyProtection="1">
      <protection hidden="1"/>
    </xf>
    <xf numFmtId="3" fontId="8" fillId="0" borderId="32" xfId="0" applyNumberFormat="1" applyFont="1" applyBorder="1" applyAlignment="1" applyProtection="1">
      <protection hidden="1"/>
    </xf>
    <xf numFmtId="0" fontId="8" fillId="0" borderId="0" xfId="0" applyFont="1" applyAlignment="1" applyProtection="1">
      <alignment vertical="center"/>
      <protection hidden="1"/>
    </xf>
    <xf numFmtId="0" fontId="8" fillId="0" borderId="0" xfId="0" applyFont="1" applyProtection="1">
      <protection hidden="1"/>
    </xf>
    <xf numFmtId="0" fontId="8" fillId="0" borderId="0" xfId="0" applyFont="1" applyAlignment="1" applyProtection="1">
      <alignment horizontal="right"/>
      <protection hidden="1"/>
    </xf>
    <xf numFmtId="0" fontId="8" fillId="0" borderId="0" xfId="0" applyFont="1" applyBorder="1" applyProtection="1">
      <protection hidden="1"/>
    </xf>
    <xf numFmtId="165" fontId="8" fillId="0" borderId="0" xfId="0" applyNumberFormat="1" applyFont="1" applyBorder="1" applyAlignment="1" applyProtection="1">
      <alignment vertical="center" wrapText="1"/>
      <protection hidden="1"/>
    </xf>
    <xf numFmtId="0" fontId="8" fillId="0" borderId="0" xfId="0" applyFont="1" applyFill="1" applyProtection="1">
      <protection hidden="1"/>
    </xf>
    <xf numFmtId="0" fontId="8" fillId="0" borderId="0" xfId="0" applyFont="1" applyFill="1" applyBorder="1" applyAlignment="1" applyProtection="1">
      <protection hidden="1"/>
    </xf>
    <xf numFmtId="0" fontId="8" fillId="0" borderId="0" xfId="0" applyFont="1"/>
    <xf numFmtId="0" fontId="0" fillId="6"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4"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51" fillId="16" borderId="24" xfId="8" applyBorder="1">
      <alignment horizontal="center" vertical="center"/>
      <protection locked="0"/>
    </xf>
    <xf numFmtId="0" fontId="51" fillId="16" borderId="5" xfId="8" applyBorder="1">
      <alignment horizontal="center" vertical="center"/>
      <protection locked="0"/>
    </xf>
    <xf numFmtId="0" fontId="9" fillId="0" borderId="0" xfId="0" applyFont="1" applyFill="1" applyProtection="1">
      <protection hidden="1"/>
    </xf>
    <xf numFmtId="0" fontId="17" fillId="0" borderId="0" xfId="0" applyFont="1" applyFill="1" applyProtection="1">
      <protection hidden="1"/>
    </xf>
    <xf numFmtId="0" fontId="18" fillId="0" borderId="0" xfId="0" applyFont="1" applyFill="1" applyAlignment="1" applyProtection="1">
      <alignment horizontal="center" vertical="center"/>
      <protection hidden="1"/>
    </xf>
    <xf numFmtId="0" fontId="19" fillId="0" borderId="0" xfId="0" applyFont="1" applyFill="1" applyProtection="1">
      <protection hidden="1"/>
    </xf>
    <xf numFmtId="0" fontId="0" fillId="0" borderId="24"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0" borderId="1" xfId="0" applyNumberFormat="1" applyFont="1" applyBorder="1" applyAlignment="1" applyProtection="1">
      <alignment horizontal="right" vertical="center"/>
      <protection hidden="1"/>
    </xf>
    <xf numFmtId="3" fontId="0" fillId="5" borderId="1" xfId="0" applyNumberFormat="1" applyFont="1" applyFill="1" applyBorder="1" applyAlignment="1" applyProtection="1">
      <alignment horizontal="right" vertical="center"/>
      <protection hidden="1"/>
    </xf>
    <xf numFmtId="3" fontId="0" fillId="5" borderId="1" xfId="0" applyNumberFormat="1" applyFont="1" applyFill="1" applyBorder="1" applyAlignment="1" applyProtection="1">
      <alignment horizontal="right" vertical="center"/>
      <protection locked="0"/>
    </xf>
    <xf numFmtId="3" fontId="0" fillId="5" borderId="17" xfId="0" applyNumberFormat="1" applyFont="1" applyFill="1" applyBorder="1" applyAlignment="1" applyProtection="1">
      <alignment horizontal="right" vertical="center"/>
      <protection locked="0"/>
    </xf>
    <xf numFmtId="3" fontId="0" fillId="0" borderId="1" xfId="0" applyNumberFormat="1" applyFont="1" applyBorder="1" applyAlignment="1" applyProtection="1">
      <alignment horizontal="right" vertical="center"/>
      <protection locked="0"/>
    </xf>
    <xf numFmtId="3" fontId="0" fillId="0" borderId="17" xfId="0" applyNumberFormat="1" applyFont="1" applyBorder="1" applyAlignment="1" applyProtection="1">
      <alignment horizontal="right" vertical="center"/>
      <protection locked="0"/>
    </xf>
    <xf numFmtId="3" fontId="0" fillId="0" borderId="1" xfId="0" applyNumberFormat="1" applyFont="1" applyFill="1" applyBorder="1" applyAlignment="1" applyProtection="1">
      <alignment horizontal="right" vertical="center"/>
      <protection locked="0"/>
    </xf>
    <xf numFmtId="3" fontId="0" fillId="0" borderId="17" xfId="0" applyNumberFormat="1" applyFont="1" applyFill="1" applyBorder="1" applyAlignment="1" applyProtection="1">
      <alignment horizontal="right" vertical="center"/>
      <protection locked="0"/>
    </xf>
    <xf numFmtId="3" fontId="7" fillId="0" borderId="1" xfId="0" applyNumberFormat="1" applyFont="1" applyFill="1" applyBorder="1" applyAlignment="1" applyProtection="1">
      <alignment horizontal="right" vertical="center"/>
      <protection locked="0"/>
    </xf>
    <xf numFmtId="3" fontId="7" fillId="0" borderId="17" xfId="0" applyNumberFormat="1" applyFont="1" applyFill="1" applyBorder="1" applyAlignment="1" applyProtection="1">
      <alignment horizontal="right" vertical="center"/>
      <protection locked="0"/>
    </xf>
    <xf numFmtId="3" fontId="0" fillId="5" borderId="1" xfId="0" applyNumberFormat="1" applyFont="1" applyFill="1" applyBorder="1" applyAlignment="1" applyProtection="1">
      <alignment horizontal="right" vertical="center" wrapText="1"/>
      <protection locked="0"/>
    </xf>
    <xf numFmtId="3" fontId="0" fillId="5" borderId="17" xfId="0" applyNumberFormat="1" applyFont="1" applyFill="1" applyBorder="1" applyAlignment="1" applyProtection="1">
      <alignment horizontal="right" vertical="center" wrapText="1"/>
      <protection locked="0"/>
    </xf>
    <xf numFmtId="3" fontId="0" fillId="0" borderId="1" xfId="0" applyNumberFormat="1" applyFont="1" applyFill="1" applyBorder="1" applyAlignment="1" applyProtection="1">
      <alignment horizontal="right" vertical="center" wrapText="1"/>
      <protection locked="0"/>
    </xf>
    <xf numFmtId="3" fontId="0" fillId="0" borderId="17" xfId="0" applyNumberFormat="1" applyFont="1" applyFill="1" applyBorder="1" applyAlignment="1" applyProtection="1">
      <alignment horizontal="right" vertical="center" wrapText="1"/>
      <protection locked="0"/>
    </xf>
    <xf numFmtId="0" fontId="51" fillId="0" borderId="4" xfId="10" quotePrefix="1" applyFill="1" applyAlignment="1" applyProtection="1">
      <alignment horizontal="left" vertical="center" indent="1"/>
      <protection hidden="1"/>
    </xf>
    <xf numFmtId="166" fontId="7" fillId="5" borderId="9" xfId="1" applyFont="1" applyFill="1" applyBorder="1">
      <alignment horizontal="center" vertical="center"/>
      <protection hidden="1"/>
    </xf>
    <xf numFmtId="168" fontId="7" fillId="0" borderId="16" xfId="4" applyFont="1" applyBorder="1">
      <alignment horizontal="center" vertical="center" wrapText="1"/>
      <protection hidden="1"/>
    </xf>
    <xf numFmtId="166" fontId="7" fillId="0" borderId="1" xfId="1" applyFont="1" applyFill="1" applyBorder="1">
      <alignment horizontal="center" vertical="center"/>
      <protection hidden="1"/>
    </xf>
    <xf numFmtId="166" fontId="7" fillId="5" borderId="1" xfId="1" applyFont="1" applyFill="1" applyBorder="1">
      <alignment horizontal="center" vertical="center"/>
      <protection hidden="1"/>
    </xf>
    <xf numFmtId="166" fontId="7" fillId="5" borderId="6" xfId="1" applyFont="1" applyFill="1" applyBorder="1">
      <alignment horizontal="center" vertical="center"/>
      <protection hidden="1"/>
    </xf>
    <xf numFmtId="166" fontId="7" fillId="0" borderId="33"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34" xfId="0" applyFill="1" applyBorder="1"/>
    <xf numFmtId="0" fontId="0" fillId="0" borderId="35" xfId="0" applyFill="1" applyBorder="1"/>
    <xf numFmtId="0" fontId="0" fillId="0" borderId="36" xfId="0" applyFill="1" applyBorder="1"/>
    <xf numFmtId="0" fontId="15" fillId="4" borderId="37" xfId="0" applyFont="1" applyFill="1" applyBorder="1" applyAlignment="1" applyProtection="1">
      <alignment horizontal="center"/>
      <protection hidden="1"/>
    </xf>
    <xf numFmtId="0" fontId="15" fillId="4" borderId="38" xfId="0" applyFont="1" applyFill="1" applyBorder="1" applyAlignment="1" applyProtection="1">
      <alignment horizontal="center"/>
      <protection hidden="1"/>
    </xf>
    <xf numFmtId="1" fontId="0" fillId="0" borderId="0" xfId="0" applyNumberFormat="1" applyAlignment="1" applyProtection="1">
      <alignment horizontal="right" vertical="center"/>
      <protection hidden="1"/>
    </xf>
    <xf numFmtId="49" fontId="8" fillId="0" borderId="0" xfId="11" applyFill="1" applyBorder="1">
      <alignment horizontal="left" indent="1"/>
      <protection hidden="1"/>
    </xf>
    <xf numFmtId="0" fontId="5" fillId="0" borderId="0" xfId="0" applyFont="1" applyBorder="1" applyAlignment="1" applyProtection="1">
      <alignment vertical="center"/>
      <protection hidden="1"/>
    </xf>
    <xf numFmtId="0" fontId="0" fillId="0" borderId="0" xfId="0" applyAlignment="1">
      <alignment wrapText="1"/>
    </xf>
    <xf numFmtId="0" fontId="0" fillId="6" borderId="2" xfId="0" applyFill="1" applyBorder="1" applyAlignment="1">
      <alignment wrapText="1"/>
    </xf>
    <xf numFmtId="166" fontId="7" fillId="0" borderId="39" xfId="1" applyFont="1" applyBorder="1" applyProtection="1">
      <alignment horizontal="center" vertical="center"/>
      <protection hidden="1"/>
    </xf>
    <xf numFmtId="166" fontId="8" fillId="5" borderId="1" xfId="1" applyFont="1" applyFill="1" applyBorder="1" applyProtection="1">
      <alignment horizontal="center" vertical="center"/>
      <protection hidden="1"/>
    </xf>
    <xf numFmtId="166" fontId="8" fillId="0" borderId="1" xfId="1" applyFont="1" applyBorder="1" applyProtection="1">
      <alignment horizontal="center" vertical="center"/>
      <protection hidden="1"/>
    </xf>
    <xf numFmtId="166" fontId="8" fillId="5" borderId="33" xfId="1" applyFont="1" applyFill="1" applyBorder="1">
      <alignment horizontal="center" vertical="center"/>
      <protection hidden="1"/>
    </xf>
    <xf numFmtId="168" fontId="7" fillId="5" borderId="16" xfId="4" applyFont="1" applyFill="1" applyBorder="1">
      <alignment horizontal="center" vertical="center" wrapText="1"/>
      <protection hidden="1"/>
    </xf>
    <xf numFmtId="166" fontId="7" fillId="0" borderId="1" xfId="1" applyFont="1" applyBorder="1">
      <alignment horizontal="center" vertical="center"/>
      <protection hidden="1"/>
    </xf>
    <xf numFmtId="168" fontId="8" fillId="0" borderId="20" xfId="4" applyFont="1" applyBorder="1">
      <alignment horizontal="center" vertical="center" wrapText="1"/>
      <protection hidden="1"/>
    </xf>
    <xf numFmtId="166" fontId="8" fillId="0" borderId="39" xfId="1" applyFont="1" applyBorder="1">
      <alignment horizontal="center" vertical="center"/>
      <protection hidden="1"/>
    </xf>
    <xf numFmtId="168" fontId="8" fillId="5" borderId="16" xfId="4" applyFont="1" applyFill="1" applyBorder="1">
      <alignment horizontal="center" vertical="center" wrapText="1"/>
      <protection hidden="1"/>
    </xf>
    <xf numFmtId="168" fontId="8" fillId="0" borderId="16" xfId="4" applyFont="1" applyBorder="1">
      <alignment horizontal="center" vertical="center" wrapText="1"/>
      <protection hidden="1"/>
    </xf>
    <xf numFmtId="166" fontId="8" fillId="0" borderId="1" xfId="1" applyFont="1" applyBorder="1">
      <alignment horizontal="center" vertical="center"/>
      <protection hidden="1"/>
    </xf>
    <xf numFmtId="168" fontId="8" fillId="5" borderId="40" xfId="4" applyFont="1" applyFill="1" applyBorder="1">
      <alignment horizontal="center" vertical="center" wrapText="1"/>
      <protection hidden="1"/>
    </xf>
    <xf numFmtId="3" fontId="0" fillId="5" borderId="14" xfId="0" applyNumberFormat="1" applyFont="1" applyFill="1" applyBorder="1" applyAlignment="1" applyProtection="1">
      <alignment horizontal="right" vertical="center"/>
      <protection locked="0"/>
    </xf>
    <xf numFmtId="3" fontId="0" fillId="5" borderId="15" xfId="0" applyNumberFormat="1" applyFont="1" applyFill="1" applyBorder="1" applyAlignment="1" applyProtection="1">
      <alignment horizontal="right" vertical="center"/>
      <protection locked="0"/>
    </xf>
    <xf numFmtId="3" fontId="0" fillId="0" borderId="14" xfId="0" applyNumberFormat="1" applyFont="1" applyBorder="1" applyAlignment="1" applyProtection="1">
      <alignment horizontal="right" vertical="center"/>
      <protection locked="0"/>
    </xf>
    <xf numFmtId="3" fontId="0" fillId="0" borderId="15" xfId="0" applyNumberFormat="1" applyFont="1" applyBorder="1" applyAlignment="1" applyProtection="1">
      <alignment horizontal="right" vertical="center"/>
      <protection locked="0"/>
    </xf>
    <xf numFmtId="3" fontId="7" fillId="5" borderId="14" xfId="0" applyNumberFormat="1" applyFont="1" applyFill="1" applyBorder="1" applyAlignment="1" applyProtection="1">
      <alignment horizontal="right" vertical="center"/>
      <protection locked="0"/>
    </xf>
    <xf numFmtId="3" fontId="7" fillId="5" borderId="15" xfId="0" applyNumberFormat="1" applyFont="1" applyFill="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 xfId="0" applyNumberFormat="1" applyFont="1" applyBorder="1" applyAlignment="1" applyProtection="1">
      <alignment horizontal="right" vertical="center"/>
      <protection locked="0"/>
    </xf>
    <xf numFmtId="3" fontId="7" fillId="0" borderId="17" xfId="0" applyNumberFormat="1" applyFont="1" applyBorder="1" applyAlignment="1" applyProtection="1">
      <alignment horizontal="right" vertical="center"/>
      <protection locked="0"/>
    </xf>
    <xf numFmtId="3" fontId="0" fillId="0" borderId="39" xfId="0" applyNumberFormat="1" applyFont="1" applyBorder="1" applyAlignment="1" applyProtection="1">
      <alignment horizontal="right" vertical="center"/>
      <protection locked="0"/>
    </xf>
    <xf numFmtId="3" fontId="0" fillId="5" borderId="33" xfId="0" applyNumberFormat="1" applyFont="1" applyFill="1" applyBorder="1" applyAlignment="1" applyProtection="1">
      <alignment horizontal="right" vertical="center"/>
      <protection locked="0"/>
    </xf>
    <xf numFmtId="3" fontId="0" fillId="5" borderId="41" xfId="0" applyNumberFormat="1" applyFont="1" applyFill="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2" xfId="0" applyBorder="1" applyAlignment="1" applyProtection="1">
      <alignment vertical="center"/>
      <protection locked="0" hidden="1"/>
    </xf>
    <xf numFmtId="0" fontId="0" fillId="0" borderId="0" xfId="0" applyBorder="1" applyAlignment="1" applyProtection="1">
      <alignment vertical="center"/>
      <protection hidden="1"/>
    </xf>
    <xf numFmtId="0" fontId="9" fillId="0" borderId="0" xfId="0" applyFont="1" applyFill="1" applyAlignment="1" applyProtection="1">
      <alignment horizontal="left" indent="1"/>
      <protection hidden="1"/>
    </xf>
    <xf numFmtId="0" fontId="5" fillId="0" borderId="2" xfId="0" applyFont="1" applyBorder="1" applyAlignment="1" applyProtection="1">
      <alignment horizontal="center" vertical="center" wrapText="1"/>
      <protection hidden="1"/>
    </xf>
    <xf numFmtId="170" fontId="0" fillId="0" borderId="2" xfId="0" applyNumberFormat="1" applyBorder="1" applyAlignment="1" applyProtection="1">
      <alignment horizontal="center" vertical="center"/>
      <protection hidden="1"/>
    </xf>
    <xf numFmtId="170"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9" fillId="0" borderId="42" xfId="0" applyFont="1" applyFill="1" applyBorder="1" applyProtection="1">
      <protection hidden="1"/>
    </xf>
    <xf numFmtId="0" fontId="0" fillId="0" borderId="32" xfId="0" applyFill="1" applyBorder="1" applyProtection="1">
      <protection hidden="1"/>
    </xf>
    <xf numFmtId="0" fontId="0" fillId="0" borderId="43" xfId="0" applyFill="1" applyBorder="1" applyProtection="1">
      <protection hidden="1"/>
    </xf>
    <xf numFmtId="0" fontId="9" fillId="0" borderId="44" xfId="0" applyFont="1" applyFill="1" applyBorder="1" applyProtection="1">
      <protection hidden="1"/>
    </xf>
    <xf numFmtId="0" fontId="0" fillId="0" borderId="45" xfId="0" applyFill="1" applyBorder="1" applyProtection="1">
      <protection hidden="1"/>
    </xf>
    <xf numFmtId="0" fontId="20" fillId="0" borderId="44" xfId="0" applyFont="1" applyFill="1" applyBorder="1" applyProtection="1">
      <protection hidden="1"/>
    </xf>
    <xf numFmtId="0" fontId="20" fillId="0" borderId="46" xfId="0" applyFont="1" applyFill="1" applyBorder="1" applyProtection="1">
      <protection hidden="1"/>
    </xf>
    <xf numFmtId="0" fontId="0" fillId="0" borderId="4" xfId="0" applyFill="1" applyBorder="1" applyProtection="1">
      <protection hidden="1"/>
    </xf>
    <xf numFmtId="0" fontId="0" fillId="0" borderId="47" xfId="0" applyFill="1" applyBorder="1" applyProtection="1">
      <protection hidden="1"/>
    </xf>
    <xf numFmtId="0" fontId="0" fillId="0" borderId="4" xfId="0" applyBorder="1"/>
    <xf numFmtId="14" fontId="0" fillId="0" borderId="0" xfId="0" applyNumberFormat="1" applyFill="1"/>
    <xf numFmtId="0" fontId="0" fillId="0" borderId="27" xfId="0" applyNumberFormat="1" applyFill="1" applyBorder="1"/>
    <xf numFmtId="0" fontId="50" fillId="15" borderId="126" xfId="6"/>
    <xf numFmtId="164" fontId="0" fillId="0" borderId="0" xfId="0" applyNumberFormat="1" applyProtection="1">
      <protection hidden="1"/>
    </xf>
    <xf numFmtId="0" fontId="0" fillId="0" borderId="0" xfId="0" applyNumberFormat="1" applyAlignment="1" applyProtection="1">
      <alignment horizontal="right"/>
      <protection hidden="1"/>
    </xf>
    <xf numFmtId="164"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5" fillId="0" borderId="0" xfId="0" applyFont="1" applyAlignment="1" applyProtection="1">
      <alignment vertical="center"/>
      <protection hidden="1"/>
    </xf>
    <xf numFmtId="0" fontId="26" fillId="7"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167" fontId="0" fillId="5" borderId="1" xfId="0" applyNumberFormat="1" applyFont="1" applyFill="1" applyBorder="1" applyAlignment="1" applyProtection="1">
      <alignment horizontal="right" vertical="center"/>
      <protection locked="0"/>
    </xf>
    <xf numFmtId="0" fontId="15" fillId="4" borderId="6" xfId="0" quotePrefix="1" applyNumberFormat="1" applyFont="1" applyFill="1" applyBorder="1" applyAlignment="1" applyProtection="1">
      <alignment horizontal="center"/>
      <protection hidden="1"/>
    </xf>
    <xf numFmtId="166" fontId="7" fillId="5" borderId="48" xfId="1" applyFont="1" applyFill="1" applyBorder="1">
      <alignment horizontal="center" vertical="center"/>
      <protection hidden="1"/>
    </xf>
    <xf numFmtId="38" fontId="7" fillId="5" borderId="49" xfId="0" applyNumberFormat="1" applyFont="1" applyFill="1" applyBorder="1" applyAlignment="1" applyProtection="1">
      <alignment horizontal="right" vertical="center"/>
      <protection hidden="1"/>
    </xf>
    <xf numFmtId="0" fontId="8" fillId="0" borderId="0" xfId="0" applyFont="1" applyAlignment="1" applyProtection="1">
      <alignment horizontal="right" vertical="center"/>
      <protection hidden="1"/>
    </xf>
    <xf numFmtId="49" fontId="7" fillId="0" borderId="0" xfId="11" applyFont="1" applyBorder="1" applyAlignment="1">
      <protection hidden="1"/>
    </xf>
    <xf numFmtId="0" fontId="8" fillId="0" borderId="0" xfId="12" applyBorder="1">
      <alignment horizontal="left" indent="1"/>
      <protection hidden="1"/>
    </xf>
    <xf numFmtId="49" fontId="8" fillId="0" borderId="0" xfId="11" applyFont="1" applyBorder="1" applyAlignment="1">
      <alignment vertical="center"/>
      <protection hidden="1"/>
    </xf>
    <xf numFmtId="168" fontId="8" fillId="5" borderId="40" xfId="4" applyFill="1" applyBorder="1">
      <alignment horizontal="center" vertical="center" wrapText="1"/>
      <protection hidden="1"/>
    </xf>
    <xf numFmtId="166" fontId="8" fillId="5" borderId="33" xfId="1" applyFill="1" applyBorder="1">
      <alignment horizontal="center" vertical="center"/>
      <protection hidden="1"/>
    </xf>
    <xf numFmtId="0" fontId="0" fillId="6" borderId="0" xfId="0" applyFill="1"/>
    <xf numFmtId="0" fontId="0" fillId="6" borderId="0" xfId="0" applyFill="1" applyAlignment="1">
      <alignment horizontal="left" vertical="center" textRotation="90" wrapText="1"/>
    </xf>
    <xf numFmtId="0" fontId="0" fillId="6" borderId="0" xfId="0" applyFill="1" applyAlignment="1">
      <alignment wrapText="1"/>
    </xf>
    <xf numFmtId="49" fontId="0" fillId="8" borderId="16" xfId="4" applyNumberFormat="1" applyFont="1" applyFill="1" applyBorder="1" applyAlignment="1">
      <alignment horizontal="center" vertical="center" wrapText="1"/>
      <protection hidden="1"/>
    </xf>
    <xf numFmtId="0" fontId="0" fillId="0" borderId="0" xfId="0" applyAlignment="1">
      <alignment horizontal="left" vertical="top" wrapText="1"/>
    </xf>
    <xf numFmtId="0" fontId="26" fillId="0" borderId="2" xfId="0" applyFont="1" applyBorder="1" applyAlignment="1">
      <alignment horizontal="center" vertical="center" wrapText="1"/>
    </xf>
    <xf numFmtId="0" fontId="8" fillId="0" borderId="0" xfId="12" applyFont="1" applyBorder="1" applyAlignment="1">
      <protection hidden="1"/>
    </xf>
    <xf numFmtId="0" fontId="0" fillId="0" borderId="0" xfId="0" applyNumberFormat="1" applyAlignment="1" applyProtection="1">
      <alignment horizontal="left" vertical="center"/>
      <protection hidden="1"/>
    </xf>
    <xf numFmtId="0" fontId="33" fillId="0" borderId="0" xfId="0" applyFont="1" applyProtection="1">
      <protection hidden="1"/>
    </xf>
    <xf numFmtId="164" fontId="33" fillId="0" borderId="0" xfId="0" applyNumberFormat="1" applyFont="1" applyProtection="1">
      <protection hidden="1"/>
    </xf>
    <xf numFmtId="0" fontId="33" fillId="0" borderId="0" xfId="0" applyNumberFormat="1" applyFont="1" applyAlignment="1" applyProtection="1">
      <alignment horizontal="right"/>
      <protection hidden="1"/>
    </xf>
    <xf numFmtId="0" fontId="0" fillId="0" borderId="4" xfId="0" applyBorder="1" applyProtection="1">
      <protection hidden="1"/>
    </xf>
    <xf numFmtId="164" fontId="0" fillId="0" borderId="4" xfId="0" applyNumberFormat="1" applyBorder="1" applyProtection="1">
      <protection hidden="1"/>
    </xf>
    <xf numFmtId="0" fontId="0" fillId="0" borderId="4" xfId="0" applyNumberFormat="1" applyBorder="1" applyAlignment="1" applyProtection="1">
      <alignment horizontal="right"/>
      <protection hidden="1"/>
    </xf>
    <xf numFmtId="0" fontId="0" fillId="0" borderId="4" xfId="0" applyBorder="1" applyAlignment="1" applyProtection="1">
      <alignment horizontal="right" vertical="center"/>
      <protection hidden="1"/>
    </xf>
    <xf numFmtId="49" fontId="26" fillId="0" borderId="2" xfId="0" applyNumberFormat="1" applyFont="1" applyBorder="1" applyAlignment="1">
      <alignment horizontal="center" vertical="center" wrapText="1"/>
    </xf>
    <xf numFmtId="49" fontId="7" fillId="7" borderId="2" xfId="4" applyNumberFormat="1" applyFont="1" applyFill="1" applyBorder="1" applyAlignment="1">
      <alignment horizontal="left" vertical="center" wrapText="1"/>
      <protection hidden="1"/>
    </xf>
    <xf numFmtId="0" fontId="26" fillId="7" borderId="2" xfId="0" applyFont="1" applyFill="1" applyBorder="1" applyAlignment="1">
      <alignment horizontal="left" vertical="center" wrapText="1"/>
    </xf>
    <xf numFmtId="168" fontId="0" fillId="7" borderId="2" xfId="4" applyFont="1" applyFill="1" applyBorder="1" applyAlignment="1">
      <alignment horizontal="left" vertical="center" wrapText="1"/>
      <protection hidden="1"/>
    </xf>
    <xf numFmtId="0" fontId="26" fillId="7" borderId="50" xfId="0" applyFont="1" applyFill="1" applyBorder="1" applyAlignment="1">
      <alignment horizontal="left" vertical="center" wrapText="1"/>
    </xf>
    <xf numFmtId="168" fontId="7" fillId="8" borderId="16" xfId="4" applyFont="1" applyFill="1" applyBorder="1" applyAlignment="1">
      <alignment horizontal="left" vertical="center" wrapText="1"/>
      <protection hidden="1"/>
    </xf>
    <xf numFmtId="49" fontId="7" fillId="8" borderId="16" xfId="4" applyNumberFormat="1" applyFont="1" applyFill="1" applyBorder="1" applyAlignment="1">
      <alignment horizontal="left" vertical="center" wrapText="1"/>
      <protection hidden="1"/>
    </xf>
    <xf numFmtId="49" fontId="7" fillId="8" borderId="0" xfId="0" applyNumberFormat="1" applyFont="1" applyFill="1" applyAlignment="1">
      <alignment horizontal="left" vertical="center" wrapText="1"/>
    </xf>
    <xf numFmtId="0" fontId="7" fillId="8" borderId="0" xfId="0" applyFont="1" applyFill="1" applyAlignment="1">
      <alignment horizontal="left" vertical="center"/>
    </xf>
    <xf numFmtId="49" fontId="0" fillId="8" borderId="16" xfId="4" applyNumberFormat="1" applyFont="1" applyFill="1" applyBorder="1" applyAlignment="1">
      <alignment horizontal="left" vertical="center" wrapText="1"/>
      <protection hidden="1"/>
    </xf>
    <xf numFmtId="168" fontId="0" fillId="8" borderId="16" xfId="4" applyFont="1" applyFill="1" applyBorder="1" applyAlignment="1">
      <alignment horizontal="left" vertical="center" wrapText="1"/>
      <protection hidden="1"/>
    </xf>
    <xf numFmtId="168" fontId="7" fillId="8" borderId="0" xfId="4" applyFont="1" applyFill="1" applyBorder="1" applyAlignment="1">
      <alignment horizontal="left" vertical="center" wrapText="1"/>
      <protection hidden="1"/>
    </xf>
    <xf numFmtId="49" fontId="7" fillId="8" borderId="0" xfId="4" applyNumberFormat="1" applyFont="1" applyFill="1" applyBorder="1" applyAlignment="1">
      <alignment horizontal="left" vertical="center" wrapText="1"/>
      <protection hidden="1"/>
    </xf>
    <xf numFmtId="168" fontId="7" fillId="9" borderId="0" xfId="4" applyFont="1" applyFill="1" applyBorder="1" applyAlignment="1">
      <alignment horizontal="left" vertical="center" wrapText="1"/>
      <protection hidden="1"/>
    </xf>
    <xf numFmtId="0" fontId="7" fillId="0" borderId="0" xfId="0" applyFont="1" applyAlignment="1">
      <alignment horizontal="left" wrapText="1"/>
    </xf>
    <xf numFmtId="0" fontId="7" fillId="0" borderId="0" xfId="0" applyFont="1" applyAlignment="1">
      <alignment horizontal="left"/>
    </xf>
    <xf numFmtId="0" fontId="26" fillId="0" borderId="2" xfId="0" applyFont="1" applyBorder="1" applyAlignment="1">
      <alignment horizontal="left" vertical="center" wrapText="1"/>
    </xf>
    <xf numFmtId="0" fontId="26" fillId="0" borderId="2" xfId="0" applyFont="1" applyBorder="1" applyAlignment="1">
      <alignment horizontal="left" wrapText="1"/>
    </xf>
    <xf numFmtId="0" fontId="31" fillId="13" borderId="126" xfId="2" applyFont="1" applyAlignment="1">
      <alignment horizontal="left"/>
    </xf>
    <xf numFmtId="0" fontId="32" fillId="0" borderId="2" xfId="0" applyFont="1" applyBorder="1" applyAlignment="1" applyProtection="1">
      <alignment horizontal="left" wrapText="1"/>
      <protection locked="0"/>
    </xf>
    <xf numFmtId="0" fontId="7"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xf>
    <xf numFmtId="0" fontId="0" fillId="10" borderId="0" xfId="0" applyFont="1" applyFill="1" applyAlignment="1">
      <alignment horizontal="left" vertical="center"/>
    </xf>
    <xf numFmtId="49" fontId="0" fillId="0" borderId="0" xfId="0" applyNumberFormat="1" applyFont="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left" vertical="center" wrapText="1"/>
    </xf>
    <xf numFmtId="49" fontId="0" fillId="8" borderId="0" xfId="0" applyNumberFormat="1" applyFont="1" applyFill="1" applyAlignment="1">
      <alignment horizontal="left" vertical="center" wrapText="1"/>
    </xf>
    <xf numFmtId="0" fontId="0" fillId="8" borderId="0" xfId="0" applyFont="1" applyFill="1" applyAlignment="1">
      <alignment horizontal="left" vertical="center"/>
    </xf>
    <xf numFmtId="0" fontId="0" fillId="8" borderId="0" xfId="0" applyFont="1" applyFill="1" applyAlignment="1">
      <alignment horizontal="left"/>
    </xf>
    <xf numFmtId="0" fontId="0" fillId="8" borderId="0" xfId="0" applyFont="1" applyFill="1" applyAlignment="1">
      <alignment horizontal="left" wrapText="1"/>
    </xf>
    <xf numFmtId="16" fontId="0" fillId="8" borderId="0" xfId="0" applyNumberFormat="1" applyFont="1" applyFill="1" applyAlignment="1">
      <alignment horizontal="left"/>
    </xf>
    <xf numFmtId="0" fontId="0" fillId="0" borderId="0" xfId="0" applyFont="1" applyBorder="1" applyAlignment="1">
      <alignment horizontal="left" wrapText="1"/>
    </xf>
    <xf numFmtId="0" fontId="0" fillId="0" borderId="0" xfId="0" applyFont="1" applyBorder="1" applyAlignment="1">
      <alignment horizontal="left"/>
    </xf>
    <xf numFmtId="49" fontId="0" fillId="0" borderId="0" xfId="0" applyNumberFormat="1" applyFont="1" applyBorder="1" applyAlignment="1">
      <alignment horizontal="left" vertical="center" wrapText="1"/>
    </xf>
    <xf numFmtId="0" fontId="0" fillId="0" borderId="0" xfId="0" applyFont="1" applyAlignment="1">
      <alignment horizontal="left" vertical="top" wrapText="1"/>
    </xf>
    <xf numFmtId="0" fontId="0" fillId="6" borderId="0" xfId="0" applyFont="1" applyFill="1" applyAlignment="1">
      <alignment horizontal="left" vertical="center"/>
    </xf>
    <xf numFmtId="0" fontId="0" fillId="0" borderId="0" xfId="0" applyNumberFormat="1" applyFont="1" applyAlignment="1">
      <alignment horizontal="left" vertical="center" wrapText="1"/>
    </xf>
    <xf numFmtId="0" fontId="0" fillId="0" borderId="0" xfId="0" applyFont="1" applyBorder="1" applyAlignment="1">
      <alignment horizontal="left" vertical="center"/>
    </xf>
    <xf numFmtId="0" fontId="0" fillId="0" borderId="0" xfId="0" applyNumberFormat="1" applyFont="1" applyBorder="1" applyAlignment="1">
      <alignment horizontal="left" vertical="center" wrapText="1"/>
    </xf>
    <xf numFmtId="0" fontId="14" fillId="13" borderId="126" xfId="2" applyFont="1" applyAlignment="1">
      <alignment horizontal="left"/>
    </xf>
    <xf numFmtId="0" fontId="14" fillId="13" borderId="126" xfId="2" applyFont="1" applyAlignment="1">
      <alignment horizontal="left" vertical="center"/>
    </xf>
    <xf numFmtId="0" fontId="0" fillId="11" borderId="2" xfId="0" applyFont="1" applyFill="1" applyBorder="1" applyAlignment="1">
      <alignment horizontal="left" vertical="center"/>
    </xf>
    <xf numFmtId="0" fontId="0" fillId="0" borderId="2" xfId="0" applyFont="1" applyBorder="1" applyAlignment="1">
      <alignment horizontal="left" vertical="center"/>
    </xf>
    <xf numFmtId="0" fontId="14" fillId="13" borderId="126" xfId="2" applyFont="1" applyAlignment="1">
      <alignment horizontal="left" vertical="center" wrapText="1"/>
    </xf>
    <xf numFmtId="0" fontId="31" fillId="13" borderId="126" xfId="2" applyFont="1" applyAlignment="1">
      <alignment horizontal="left" vertical="center"/>
    </xf>
    <xf numFmtId="0" fontId="0" fillId="11" borderId="0" xfId="0" applyFont="1" applyFill="1" applyAlignment="1">
      <alignment horizontal="left" vertical="center"/>
    </xf>
    <xf numFmtId="0" fontId="0" fillId="11" borderId="0" xfId="0" applyFont="1" applyFill="1" applyAlignment="1">
      <alignment horizontal="left"/>
    </xf>
    <xf numFmtId="49" fontId="0" fillId="11" borderId="0" xfId="0" applyNumberFormat="1" applyFont="1" applyFill="1" applyAlignment="1">
      <alignment horizontal="left" vertical="center" wrapText="1"/>
    </xf>
    <xf numFmtId="168" fontId="7" fillId="11" borderId="0" xfId="4" applyFont="1" applyFill="1" applyBorder="1" applyAlignment="1">
      <alignment horizontal="left" vertical="center" wrapText="1"/>
      <protection hidden="1"/>
    </xf>
    <xf numFmtId="0" fontId="0" fillId="11" borderId="0" xfId="0" applyFont="1" applyFill="1" applyAlignment="1">
      <alignment horizontal="left" vertical="center" wrapText="1"/>
    </xf>
    <xf numFmtId="16" fontId="0" fillId="11" borderId="0" xfId="0" applyNumberFormat="1" applyFont="1" applyFill="1" applyAlignment="1">
      <alignment horizontal="left"/>
    </xf>
    <xf numFmtId="49" fontId="0" fillId="11" borderId="0" xfId="0" applyNumberFormat="1" applyFont="1" applyFill="1" applyBorder="1" applyAlignment="1">
      <alignment horizontal="left" vertical="center" wrapText="1"/>
    </xf>
    <xf numFmtId="49" fontId="7" fillId="11" borderId="0" xfId="4" applyNumberFormat="1" applyFont="1" applyFill="1" applyBorder="1" applyAlignment="1">
      <alignment horizontal="left" vertical="center" wrapText="1"/>
      <protection hidden="1"/>
    </xf>
    <xf numFmtId="0" fontId="24" fillId="11" borderId="51" xfId="0" applyFont="1" applyFill="1" applyBorder="1" applyAlignment="1">
      <alignment horizontal="left" vertical="center" wrapText="1"/>
    </xf>
    <xf numFmtId="0" fontId="7" fillId="11" borderId="2" xfId="0" applyFont="1" applyFill="1" applyBorder="1" applyAlignment="1" applyProtection="1">
      <alignment horizontal="left" vertical="center" wrapText="1"/>
      <protection hidden="1"/>
    </xf>
    <xf numFmtId="0" fontId="28" fillId="11" borderId="0" xfId="0" applyFont="1" applyFill="1" applyAlignment="1">
      <alignment horizontal="left"/>
    </xf>
    <xf numFmtId="0" fontId="7" fillId="11" borderId="2" xfId="0" applyFont="1" applyFill="1" applyBorder="1" applyAlignment="1" applyProtection="1">
      <alignment horizontal="left" vertical="top" wrapText="1"/>
      <protection hidden="1"/>
    </xf>
    <xf numFmtId="0" fontId="0" fillId="11" borderId="0" xfId="0" applyFont="1" applyFill="1" applyAlignment="1">
      <alignment horizontal="left" vertical="top" wrapText="1"/>
    </xf>
    <xf numFmtId="0" fontId="27" fillId="11" borderId="2" xfId="0" applyFont="1" applyFill="1" applyBorder="1" applyAlignment="1" applyProtection="1">
      <alignment horizontal="left" vertical="center" wrapText="1"/>
      <protection hidden="1"/>
    </xf>
    <xf numFmtId="0" fontId="34" fillId="11" borderId="0" xfId="0" applyFont="1" applyFill="1" applyAlignment="1">
      <alignment horizontal="left"/>
    </xf>
    <xf numFmtId="0" fontId="28" fillId="11" borderId="2" xfId="0" applyFont="1" applyFill="1" applyBorder="1" applyAlignment="1" applyProtection="1">
      <alignment horizontal="left" vertical="center" wrapText="1"/>
      <protection hidden="1"/>
    </xf>
    <xf numFmtId="0" fontId="0" fillId="11" borderId="2" xfId="0" applyFont="1" applyFill="1" applyBorder="1" applyAlignment="1" applyProtection="1">
      <alignment horizontal="left" vertical="center" wrapText="1"/>
      <protection hidden="1"/>
    </xf>
    <xf numFmtId="0" fontId="35" fillId="11" borderId="0" xfId="0" applyFont="1" applyFill="1" applyAlignment="1">
      <alignment horizontal="left"/>
    </xf>
    <xf numFmtId="0" fontId="27" fillId="11" borderId="24" xfId="0" applyFont="1" applyFill="1" applyBorder="1" applyAlignment="1" applyProtection="1">
      <alignment horizontal="left" vertical="center" wrapText="1"/>
      <protection hidden="1"/>
    </xf>
    <xf numFmtId="0" fontId="7" fillId="11" borderId="24" xfId="0" applyFont="1" applyFill="1" applyBorder="1" applyAlignment="1" applyProtection="1">
      <alignment horizontal="left" vertical="center" wrapText="1"/>
      <protection hidden="1"/>
    </xf>
    <xf numFmtId="168" fontId="8" fillId="0" borderId="20" xfId="4" applyFill="1" applyBorder="1">
      <alignment horizontal="center" vertical="center" wrapText="1"/>
      <protection hidden="1"/>
    </xf>
    <xf numFmtId="168" fontId="36" fillId="5" borderId="16" xfId="4" applyFont="1" applyFill="1" applyBorder="1">
      <alignment horizontal="center" vertical="center" wrapText="1"/>
      <protection hidden="1"/>
    </xf>
    <xf numFmtId="168" fontId="38" fillId="0" borderId="16" xfId="4" applyFont="1" applyFill="1" applyBorder="1">
      <alignment horizontal="center" vertical="center" wrapText="1"/>
      <protection hidden="1"/>
    </xf>
    <xf numFmtId="168" fontId="38" fillId="11" borderId="16" xfId="4" applyFont="1" applyFill="1" applyBorder="1">
      <alignment horizontal="center" vertical="center" wrapText="1"/>
      <protection hidden="1"/>
    </xf>
    <xf numFmtId="168" fontId="36" fillId="0" borderId="16" xfId="4" applyFont="1" applyFill="1" applyBorder="1">
      <alignment horizontal="center" vertical="center" wrapText="1"/>
      <protection hidden="1"/>
    </xf>
    <xf numFmtId="168" fontId="38" fillId="5" borderId="16" xfId="4" applyFont="1" applyFill="1" applyBorder="1">
      <alignment horizontal="center" vertical="center" wrapText="1"/>
      <protection hidden="1"/>
    </xf>
    <xf numFmtId="168" fontId="8" fillId="11" borderId="16" xfId="4" applyFill="1" applyBorder="1">
      <alignment horizontal="center" vertical="center" wrapText="1"/>
      <protection hidden="1"/>
    </xf>
    <xf numFmtId="0" fontId="0" fillId="11" borderId="0" xfId="0" applyFill="1"/>
    <xf numFmtId="0" fontId="0" fillId="11" borderId="0" xfId="0" applyNumberFormat="1" applyFill="1"/>
    <xf numFmtId="0" fontId="0" fillId="11" borderId="0" xfId="0" applyFill="1" applyAlignment="1">
      <alignment horizontal="center" vertical="center"/>
    </xf>
    <xf numFmtId="0" fontId="0" fillId="11" borderId="0" xfId="0" applyFont="1" applyFill="1" applyAlignment="1">
      <alignment horizontal="left" wrapText="1"/>
    </xf>
    <xf numFmtId="0" fontId="26" fillId="11" borderId="2" xfId="0" applyFont="1" applyFill="1" applyBorder="1" applyAlignment="1">
      <alignment horizontal="center" vertical="center" wrapText="1"/>
    </xf>
    <xf numFmtId="0" fontId="0" fillId="11" borderId="0" xfId="0" applyNumberFormat="1" applyFill="1" applyAlignment="1">
      <alignment horizontal="center" vertical="center"/>
    </xf>
    <xf numFmtId="49" fontId="0" fillId="11" borderId="0" xfId="0" applyNumberFormat="1" applyFont="1" applyFill="1" applyAlignment="1">
      <alignment horizontal="center" vertical="center" wrapText="1"/>
    </xf>
    <xf numFmtId="0" fontId="27" fillId="11" borderId="0" xfId="0" applyFont="1" applyFill="1" applyAlignment="1">
      <alignment horizontal="left"/>
    </xf>
    <xf numFmtId="0" fontId="0" fillId="11" borderId="4" xfId="0" applyFill="1" applyBorder="1"/>
    <xf numFmtId="0" fontId="0" fillId="11" borderId="4" xfId="0" applyNumberFormat="1" applyFill="1" applyBorder="1" applyAlignment="1">
      <alignment horizontal="center" vertical="center"/>
    </xf>
    <xf numFmtId="0" fontId="0" fillId="11" borderId="4" xfId="0" applyFont="1" applyFill="1" applyBorder="1" applyAlignment="1">
      <alignment horizontal="left" vertical="center"/>
    </xf>
    <xf numFmtId="49" fontId="0" fillId="11" borderId="4" xfId="0" applyNumberFormat="1" applyFont="1" applyFill="1" applyBorder="1" applyAlignment="1">
      <alignment horizontal="left" vertical="center" wrapText="1"/>
    </xf>
    <xf numFmtId="168" fontId="7" fillId="7" borderId="52" xfId="4" applyFont="1" applyFill="1" applyBorder="1" applyAlignment="1">
      <alignment horizontal="left" vertical="center" wrapText="1"/>
      <protection hidden="1"/>
    </xf>
    <xf numFmtId="0" fontId="0" fillId="0" borderId="0" xfId="0" applyBorder="1" applyAlignment="1">
      <alignment horizontal="center" vertical="center" wrapText="1"/>
    </xf>
    <xf numFmtId="0" fontId="16" fillId="14" borderId="0" xfId="3"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29" fillId="0" borderId="0" xfId="0" applyFont="1" applyFill="1" applyBorder="1" applyAlignment="1" applyProtection="1">
      <alignment vertical="center" wrapText="1"/>
      <protection hidden="1"/>
    </xf>
    <xf numFmtId="0" fontId="24" fillId="0" borderId="0" xfId="0" applyFont="1" applyFill="1" applyBorder="1" applyAlignment="1">
      <alignment vertical="center" wrapText="1"/>
    </xf>
    <xf numFmtId="168" fontId="7" fillId="0" borderId="16" xfId="4" applyFont="1" applyBorder="1" applyAlignment="1">
      <alignment horizontal="center" vertical="center" wrapText="1"/>
      <protection hidden="1"/>
    </xf>
    <xf numFmtId="3" fontId="0" fillId="5" borderId="16" xfId="0" applyNumberFormat="1" applyFont="1" applyFill="1" applyBorder="1" applyAlignment="1" applyProtection="1">
      <alignment horizontal="center" vertical="center"/>
      <protection hidden="1"/>
    </xf>
    <xf numFmtId="3" fontId="0" fillId="0" borderId="16" xfId="0" applyNumberFormat="1" applyFont="1" applyBorder="1" applyAlignment="1" applyProtection="1">
      <alignment horizontal="center" vertical="center"/>
      <protection hidden="1"/>
    </xf>
    <xf numFmtId="3" fontId="0" fillId="5" borderId="53" xfId="0" applyNumberFormat="1" applyFont="1" applyFill="1" applyBorder="1" applyAlignment="1" applyProtection="1">
      <alignment horizontal="center" vertical="center"/>
      <protection hidden="1"/>
    </xf>
    <xf numFmtId="3" fontId="0" fillId="5" borderId="16" xfId="0" applyNumberFormat="1" applyFont="1" applyFill="1" applyBorder="1" applyAlignment="1" applyProtection="1">
      <alignment horizontal="center" vertical="center"/>
      <protection locked="0"/>
    </xf>
    <xf numFmtId="3" fontId="0" fillId="0" borderId="16" xfId="0" applyNumberFormat="1" applyFont="1" applyBorder="1" applyAlignment="1" applyProtection="1">
      <alignment horizontal="center" vertical="center"/>
      <protection locked="0"/>
    </xf>
    <xf numFmtId="3" fontId="0" fillId="0" borderId="40" xfId="0" applyNumberFormat="1" applyFont="1" applyBorder="1" applyAlignment="1" applyProtection="1">
      <alignment horizontal="center" vertical="center"/>
      <protection locked="0"/>
    </xf>
    <xf numFmtId="3" fontId="0" fillId="0" borderId="40" xfId="0" applyNumberFormat="1" applyFont="1" applyBorder="1" applyAlignment="1" applyProtection="1">
      <alignment horizontal="center" vertical="center"/>
      <protection hidden="1"/>
    </xf>
    <xf numFmtId="38" fontId="7" fillId="5" borderId="54" xfId="0" applyNumberFormat="1" applyFont="1" applyFill="1" applyBorder="1" applyAlignment="1" applyProtection="1">
      <alignment horizontal="right" vertical="center"/>
      <protection hidden="1"/>
    </xf>
    <xf numFmtId="0" fontId="7" fillId="11" borderId="0" xfId="0" applyFont="1" applyFill="1"/>
    <xf numFmtId="0" fontId="7" fillId="11" borderId="4" xfId="0" applyFont="1" applyFill="1" applyBorder="1"/>
    <xf numFmtId="0" fontId="0" fillId="0" borderId="4" xfId="0" applyNumberFormat="1" applyBorder="1"/>
    <xf numFmtId="168" fontId="7" fillId="7" borderId="25" xfId="4" applyFont="1" applyFill="1" applyBorder="1" applyAlignment="1">
      <alignment horizontal="left" vertical="center" wrapText="1"/>
      <protection hidden="1"/>
    </xf>
    <xf numFmtId="168" fontId="0" fillId="7" borderId="25" xfId="4" applyFont="1" applyFill="1" applyBorder="1" applyAlignment="1">
      <alignment horizontal="left" vertical="center" wrapText="1"/>
      <protection hidden="1"/>
    </xf>
    <xf numFmtId="0" fontId="26" fillId="0" borderId="0" xfId="0" applyFont="1" applyBorder="1" applyAlignment="1">
      <alignment horizontal="left" vertical="center" wrapText="1"/>
    </xf>
    <xf numFmtId="168" fontId="0" fillId="7" borderId="49" xfId="4" applyFont="1" applyFill="1" applyBorder="1" applyAlignment="1">
      <alignment horizontal="left" vertical="center" wrapText="1"/>
      <protection hidden="1"/>
    </xf>
    <xf numFmtId="168" fontId="0" fillId="7" borderId="14" xfId="4" applyFont="1" applyFill="1" applyBorder="1" applyAlignment="1">
      <alignment horizontal="left" vertical="center" wrapText="1"/>
      <protection hidden="1"/>
    </xf>
    <xf numFmtId="168" fontId="7" fillId="7" borderId="14" xfId="4" applyFont="1" applyFill="1" applyBorder="1" applyAlignment="1">
      <alignment horizontal="left" vertical="center" wrapText="1"/>
      <protection hidden="1"/>
    </xf>
    <xf numFmtId="168" fontId="7" fillId="7" borderId="38" xfId="4" applyFont="1" applyFill="1" applyBorder="1" applyAlignment="1">
      <alignment horizontal="left" vertical="center" wrapText="1"/>
      <protection hidden="1"/>
    </xf>
    <xf numFmtId="168" fontId="7" fillId="8" borderId="14" xfId="4" applyFont="1" applyFill="1" applyBorder="1" applyAlignment="1">
      <alignment horizontal="left" vertical="center" wrapText="1"/>
      <protection hidden="1"/>
    </xf>
    <xf numFmtId="49" fontId="0" fillId="8" borderId="14" xfId="4" applyNumberFormat="1" applyFont="1" applyFill="1" applyBorder="1" applyAlignment="1">
      <alignment horizontal="left" vertical="center" wrapText="1"/>
      <protection hidden="1"/>
    </xf>
    <xf numFmtId="49" fontId="7" fillId="8" borderId="14" xfId="4" applyNumberFormat="1" applyFont="1" applyFill="1" applyBorder="1" applyAlignment="1">
      <alignment horizontal="left" vertical="center" wrapText="1"/>
      <protection hidden="1"/>
    </xf>
    <xf numFmtId="168" fontId="0" fillId="8" borderId="14" xfId="4" applyFont="1" applyFill="1" applyBorder="1" applyAlignment="1">
      <alignment horizontal="left" vertical="center" wrapText="1"/>
      <protection hidden="1"/>
    </xf>
    <xf numFmtId="0" fontId="26" fillId="11" borderId="0" xfId="0" applyFont="1" applyFill="1" applyBorder="1" applyAlignment="1">
      <alignment horizontal="left" vertical="center" wrapText="1"/>
    </xf>
    <xf numFmtId="0" fontId="26" fillId="11" borderId="0" xfId="0" applyFont="1" applyFill="1" applyBorder="1" applyAlignment="1">
      <alignment horizontal="left" wrapText="1"/>
    </xf>
    <xf numFmtId="0" fontId="26" fillId="11" borderId="0" xfId="0" applyFont="1" applyFill="1" applyBorder="1" applyAlignment="1">
      <alignment horizontal="left" vertical="top" wrapText="1"/>
    </xf>
    <xf numFmtId="0" fontId="36" fillId="0" borderId="0" xfId="0" applyFont="1" applyBorder="1" applyAlignment="1" applyProtection="1">
      <alignment vertical="center" wrapText="1"/>
      <protection hidden="1"/>
    </xf>
    <xf numFmtId="0" fontId="36" fillId="5" borderId="0" xfId="0" applyFont="1" applyFill="1" applyBorder="1" applyAlignment="1" applyProtection="1">
      <alignment vertical="center" wrapText="1"/>
      <protection hidden="1"/>
    </xf>
    <xf numFmtId="0" fontId="37" fillId="0" borderId="0" xfId="0" applyFont="1" applyBorder="1" applyAlignment="1" applyProtection="1">
      <alignment vertical="center" wrapText="1"/>
      <protection hidden="1"/>
    </xf>
    <xf numFmtId="0" fontId="38" fillId="5" borderId="0" xfId="0" applyFont="1" applyFill="1" applyBorder="1" applyAlignment="1" applyProtection="1">
      <alignment vertical="center" wrapText="1"/>
      <protection hidden="1"/>
    </xf>
    <xf numFmtId="0" fontId="38" fillId="0" borderId="0" xfId="0" applyFont="1" applyBorder="1" applyAlignment="1" applyProtection="1">
      <alignment vertical="center" wrapText="1"/>
      <protection hidden="1"/>
    </xf>
    <xf numFmtId="0" fontId="38" fillId="11" borderId="0" xfId="0" applyFont="1" applyFill="1" applyBorder="1" applyAlignment="1" applyProtection="1">
      <alignment vertical="center" wrapText="1"/>
      <protection hidden="1"/>
    </xf>
    <xf numFmtId="0" fontId="36" fillId="11" borderId="0" xfId="0" applyFont="1" applyFill="1" applyBorder="1" applyAlignment="1" applyProtection="1">
      <alignment vertical="center" wrapText="1"/>
      <protection hidden="1"/>
    </xf>
    <xf numFmtId="38" fontId="7" fillId="0" borderId="49" xfId="0" applyNumberFormat="1" applyFont="1" applyFill="1" applyBorder="1" applyAlignment="1" applyProtection="1">
      <alignment horizontal="right" vertical="center"/>
      <protection hidden="1"/>
    </xf>
    <xf numFmtId="38" fontId="7" fillId="0" borderId="54" xfId="0" applyNumberFormat="1" applyFont="1" applyFill="1" applyBorder="1" applyAlignment="1" applyProtection="1">
      <alignment horizontal="right" vertical="center"/>
      <protection hidden="1"/>
    </xf>
    <xf numFmtId="1" fontId="7" fillId="5" borderId="1" xfId="1" applyNumberFormat="1" applyFont="1" applyFill="1" applyBorder="1">
      <alignment horizontal="center" vertical="center"/>
      <protection hidden="1"/>
    </xf>
    <xf numFmtId="1" fontId="7" fillId="0" borderId="1" xfId="1" applyNumberFormat="1" applyFont="1" applyFill="1" applyBorder="1">
      <alignment horizontal="center" vertical="center"/>
      <protection hidden="1"/>
    </xf>
    <xf numFmtId="1" fontId="7" fillId="5" borderId="33" xfId="1" applyNumberFormat="1" applyFont="1" applyFill="1" applyBorder="1">
      <alignment horizontal="center" vertical="center"/>
      <protection hidden="1"/>
    </xf>
    <xf numFmtId="49" fontId="8" fillId="0" borderId="0" xfId="11" applyFont="1" applyBorder="1" applyAlignment="1">
      <alignment horizontal="right" vertical="center"/>
      <protection hidden="1"/>
    </xf>
    <xf numFmtId="3" fontId="7" fillId="0" borderId="0" xfId="0" applyNumberFormat="1" applyFont="1" applyFill="1" applyBorder="1" applyAlignment="1" applyProtection="1">
      <alignment horizontal="right" vertical="center"/>
      <protection hidden="1"/>
    </xf>
    <xf numFmtId="3" fontId="0" fillId="0" borderId="33" xfId="0" applyNumberFormat="1" applyFont="1" applyBorder="1" applyAlignment="1" applyProtection="1">
      <alignment horizontal="right" vertical="center"/>
      <protection locked="0"/>
    </xf>
    <xf numFmtId="0" fontId="15" fillId="4" borderId="37" xfId="0" applyFont="1" applyFill="1" applyBorder="1" applyAlignment="1" applyProtection="1">
      <protection hidden="1"/>
    </xf>
    <xf numFmtId="0" fontId="15" fillId="4" borderId="38" xfId="0" applyFont="1" applyFill="1" applyBorder="1" applyAlignment="1" applyProtection="1">
      <protection hidden="1"/>
    </xf>
    <xf numFmtId="3" fontId="7" fillId="0" borderId="48" xfId="0" applyNumberFormat="1" applyFont="1" applyFill="1" applyBorder="1" applyAlignment="1" applyProtection="1">
      <alignment horizontal="right" vertical="center"/>
      <protection hidden="1"/>
    </xf>
    <xf numFmtId="3" fontId="7" fillId="0" borderId="54" xfId="0" applyNumberFormat="1" applyFont="1" applyFill="1" applyBorder="1" applyAlignment="1" applyProtection="1">
      <alignment horizontal="right" vertical="center"/>
      <protection hidden="1"/>
    </xf>
    <xf numFmtId="0" fontId="15" fillId="4" borderId="55" xfId="0" applyFont="1" applyFill="1" applyBorder="1" applyAlignment="1" applyProtection="1">
      <alignment horizontal="center"/>
      <protection hidden="1"/>
    </xf>
    <xf numFmtId="0" fontId="15" fillId="4" borderId="56" xfId="0" applyFont="1" applyFill="1" applyBorder="1" applyAlignment="1" applyProtection="1">
      <alignment horizontal="center"/>
      <protection hidden="1"/>
    </xf>
    <xf numFmtId="38" fontId="0" fillId="5" borderId="1" xfId="0" applyNumberFormat="1" applyFont="1" applyFill="1" applyBorder="1" applyAlignment="1" applyProtection="1">
      <alignment horizontal="right" vertical="center" wrapText="1"/>
      <protection locked="0"/>
    </xf>
    <xf numFmtId="38" fontId="0" fillId="5" borderId="17" xfId="0" applyNumberFormat="1" applyFont="1" applyFill="1" applyBorder="1" applyAlignment="1" applyProtection="1">
      <alignment horizontal="right" vertical="center" wrapText="1"/>
      <protection locked="0"/>
    </xf>
    <xf numFmtId="38" fontId="0" fillId="0" borderId="1" xfId="0" applyNumberFormat="1" applyFont="1" applyFill="1" applyBorder="1" applyAlignment="1" applyProtection="1">
      <alignment horizontal="right" vertical="center" wrapText="1"/>
      <protection locked="0"/>
    </xf>
    <xf numFmtId="38" fontId="0" fillId="0" borderId="17" xfId="0" applyNumberFormat="1" applyFont="1" applyFill="1" applyBorder="1" applyAlignment="1" applyProtection="1">
      <alignment horizontal="right" vertical="center" wrapText="1"/>
      <protection locked="0"/>
    </xf>
    <xf numFmtId="166" fontId="7" fillId="5" borderId="33" xfId="1" applyFont="1" applyFill="1" applyBorder="1">
      <alignment horizontal="center" vertical="center"/>
      <protection hidden="1"/>
    </xf>
    <xf numFmtId="3" fontId="7" fillId="5" borderId="33" xfId="0" applyNumberFormat="1" applyFont="1" applyFill="1" applyBorder="1" applyAlignment="1" applyProtection="1">
      <alignment horizontal="right" vertical="center"/>
      <protection hidden="1"/>
    </xf>
    <xf numFmtId="3" fontId="7" fillId="5" borderId="41" xfId="0" applyNumberFormat="1" applyFont="1" applyFill="1" applyBorder="1" applyAlignment="1" applyProtection="1">
      <alignment horizontal="right" vertical="center"/>
      <protection hidden="1"/>
    </xf>
    <xf numFmtId="3" fontId="0" fillId="0" borderId="4" xfId="0" applyNumberFormat="1" applyFill="1" applyBorder="1" applyAlignment="1" applyProtection="1">
      <alignment horizontal="center" vertical="center"/>
      <protection hidden="1"/>
    </xf>
    <xf numFmtId="49" fontId="8" fillId="0" borderId="4" xfId="11" applyFill="1" applyBorder="1" applyAlignment="1">
      <alignment horizontal="left" vertical="center"/>
      <protection hidden="1"/>
    </xf>
    <xf numFmtId="49" fontId="8" fillId="0" borderId="4" xfId="11" applyBorder="1" applyAlignment="1">
      <alignment horizontal="left" vertical="center"/>
      <protection hidden="1"/>
    </xf>
    <xf numFmtId="0" fontId="0" fillId="0" borderId="4" xfId="0" applyBorder="1" applyAlignment="1" applyProtection="1">
      <alignment horizontal="left" vertical="center"/>
      <protection hidden="1"/>
    </xf>
    <xf numFmtId="0" fontId="8" fillId="0" borderId="0" xfId="0" applyFont="1" applyBorder="1" applyAlignment="1" applyProtection="1">
      <alignment horizontal="right" vertical="center"/>
      <protection hidden="1"/>
    </xf>
    <xf numFmtId="0" fontId="43" fillId="0" borderId="0" xfId="0" applyFont="1" applyFill="1" applyProtection="1">
      <protection hidden="1"/>
    </xf>
    <xf numFmtId="0" fontId="42" fillId="0" borderId="0" xfId="0" applyFont="1" applyFill="1" applyProtection="1">
      <protection hidden="1"/>
    </xf>
    <xf numFmtId="0" fontId="0" fillId="0" borderId="0" xfId="0" applyBorder="1" applyAlignment="1">
      <alignment vertical="center"/>
    </xf>
    <xf numFmtId="3" fontId="0" fillId="5" borderId="48" xfId="0" applyNumberFormat="1" applyFont="1" applyFill="1" applyBorder="1" applyAlignment="1" applyProtection="1">
      <alignment horizontal="right" vertical="center"/>
      <protection locked="0"/>
    </xf>
    <xf numFmtId="166" fontId="7" fillId="0" borderId="49" xfId="1" applyFont="1" applyFill="1" applyBorder="1">
      <alignment horizontal="center" vertical="center"/>
      <protection hidden="1"/>
    </xf>
    <xf numFmtId="3" fontId="0" fillId="0" borderId="48" xfId="0" applyNumberFormat="1" applyFont="1" applyBorder="1" applyAlignment="1" applyProtection="1">
      <alignment horizontal="right" vertical="center"/>
      <protection locked="0"/>
    </xf>
    <xf numFmtId="0" fontId="0" fillId="6" borderId="0" xfId="0" applyFill="1" applyAlignment="1">
      <alignment vertical="center"/>
    </xf>
    <xf numFmtId="0" fontId="6" fillId="0" borderId="57" xfId="0" applyFont="1" applyBorder="1" applyAlignment="1" applyProtection="1">
      <alignment horizontal="left" vertical="center"/>
      <protection hidden="1"/>
    </xf>
    <xf numFmtId="3" fontId="7" fillId="0" borderId="33" xfId="0" applyNumberFormat="1" applyFont="1" applyBorder="1" applyAlignment="1" applyProtection="1">
      <alignment horizontal="right" vertical="center"/>
      <protection locked="0"/>
    </xf>
    <xf numFmtId="3" fontId="7" fillId="0" borderId="58" xfId="0" applyNumberFormat="1" applyFont="1" applyBorder="1" applyAlignment="1" applyProtection="1">
      <alignment horizontal="right" vertical="center"/>
      <protection locked="0"/>
    </xf>
    <xf numFmtId="0" fontId="23" fillId="0" borderId="0" xfId="0" applyFont="1" applyAlignment="1" applyProtection="1">
      <alignment horizontal="right"/>
      <protection hidden="1"/>
    </xf>
    <xf numFmtId="0" fontId="23" fillId="0" borderId="0" xfId="0" applyFont="1" applyProtection="1">
      <protection hidden="1"/>
    </xf>
    <xf numFmtId="0" fontId="23" fillId="0" borderId="0" xfId="0" applyFont="1" applyAlignment="1" applyProtection="1">
      <alignment horizontal="center" vertical="center"/>
      <protection hidden="1"/>
    </xf>
    <xf numFmtId="0" fontId="23" fillId="0" borderId="0" xfId="0" applyFont="1" applyAlignment="1">
      <alignment wrapText="1"/>
    </xf>
    <xf numFmtId="168" fontId="23" fillId="5" borderId="16" xfId="4" applyFont="1" applyFill="1" applyBorder="1" applyAlignment="1">
      <alignment horizontal="center" vertical="center" wrapText="1"/>
      <protection hidden="1"/>
    </xf>
    <xf numFmtId="3" fontId="0" fillId="0" borderId="14" xfId="0" applyNumberFormat="1" applyFont="1" applyBorder="1" applyAlignment="1" applyProtection="1">
      <alignment horizontal="right" vertical="center"/>
      <protection hidden="1"/>
    </xf>
    <xf numFmtId="168" fontId="23" fillId="0" borderId="16" xfId="4" applyFont="1" applyFill="1" applyBorder="1" applyAlignment="1">
      <alignment horizontal="center" vertical="center" wrapText="1"/>
      <protection hidden="1"/>
    </xf>
    <xf numFmtId="0" fontId="0" fillId="0" borderId="57" xfId="0" applyBorder="1" applyAlignment="1" applyProtection="1">
      <alignment horizontal="center" vertical="center"/>
      <protection hidden="1"/>
    </xf>
    <xf numFmtId="164" fontId="0" fillId="0" borderId="57" xfId="0" applyNumberFormat="1" applyBorder="1" applyProtection="1">
      <protection hidden="1"/>
    </xf>
    <xf numFmtId="0" fontId="0" fillId="0" borderId="57" xfId="0" applyNumberFormat="1" applyBorder="1" applyAlignment="1" applyProtection="1">
      <alignment horizontal="right"/>
      <protection hidden="1"/>
    </xf>
    <xf numFmtId="0" fontId="30" fillId="4" borderId="18" xfId="0" applyFont="1" applyFill="1" applyBorder="1" applyAlignment="1" applyProtection="1">
      <alignment horizontal="center"/>
      <protection hidden="1"/>
    </xf>
    <xf numFmtId="168" fontId="23" fillId="5" borderId="40" xfId="4" applyFont="1" applyFill="1" applyBorder="1" applyAlignment="1">
      <alignment horizontal="center" vertical="center" wrapText="1"/>
      <protection hidden="1"/>
    </xf>
    <xf numFmtId="0" fontId="23" fillId="0" borderId="4" xfId="0" applyFont="1" applyFill="1" applyBorder="1" applyAlignment="1" applyProtection="1">
      <alignment horizontal="right" vertical="center"/>
      <protection hidden="1"/>
    </xf>
    <xf numFmtId="3" fontId="0" fillId="0" borderId="15" xfId="0" applyNumberFormat="1" applyFont="1" applyBorder="1" applyAlignment="1" applyProtection="1">
      <alignment horizontal="right" vertical="center"/>
      <protection hidden="1"/>
    </xf>
    <xf numFmtId="3" fontId="0" fillId="5" borderId="1" xfId="0" applyNumberFormat="1" applyFont="1" applyFill="1" applyBorder="1" applyAlignment="1" applyProtection="1">
      <alignment horizontal="right" vertical="center" wrapText="1"/>
      <protection hidden="1"/>
    </xf>
    <xf numFmtId="3" fontId="0" fillId="5" borderId="17" xfId="0" applyNumberFormat="1" applyFont="1" applyFill="1" applyBorder="1" applyAlignment="1" applyProtection="1">
      <alignment horizontal="right" vertical="center" wrapText="1"/>
      <protection hidden="1"/>
    </xf>
    <xf numFmtId="168" fontId="7" fillId="0" borderId="20" xfId="4" applyFont="1" applyBorder="1" applyAlignment="1">
      <alignment horizontal="center" vertical="center" wrapText="1"/>
      <protection hidden="1"/>
    </xf>
    <xf numFmtId="168" fontId="8" fillId="5" borderId="16" xfId="4" applyFont="1" applyFill="1" applyBorder="1" applyAlignment="1">
      <alignment horizontal="center" vertical="center" wrapText="1"/>
      <protection hidden="1"/>
    </xf>
    <xf numFmtId="168" fontId="8" fillId="0" borderId="16" xfId="4" applyFont="1" applyBorder="1" applyAlignment="1">
      <alignment horizontal="center" vertical="center" wrapText="1"/>
      <protection hidden="1"/>
    </xf>
    <xf numFmtId="3" fontId="8" fillId="0" borderId="1" xfId="0" applyNumberFormat="1" applyFont="1" applyBorder="1" applyAlignment="1" applyProtection="1">
      <alignment horizontal="right" vertical="center"/>
      <protection locked="0"/>
    </xf>
    <xf numFmtId="3" fontId="8" fillId="0" borderId="17" xfId="0" applyNumberFormat="1" applyFont="1" applyBorder="1" applyAlignment="1" applyProtection="1">
      <alignment horizontal="right" vertical="center"/>
      <protection locked="0"/>
    </xf>
    <xf numFmtId="3" fontId="8" fillId="5" borderId="1" xfId="0" applyNumberFormat="1" applyFont="1" applyFill="1" applyBorder="1" applyAlignment="1" applyProtection="1">
      <alignment horizontal="right" vertical="center"/>
      <protection locked="0"/>
    </xf>
    <xf numFmtId="3" fontId="8" fillId="5" borderId="17" xfId="0" applyNumberFormat="1" applyFont="1" applyFill="1" applyBorder="1" applyAlignment="1" applyProtection="1">
      <alignment horizontal="right" vertical="center"/>
      <protection locked="0"/>
    </xf>
    <xf numFmtId="3" fontId="8" fillId="5" borderId="1" xfId="0" applyNumberFormat="1" applyFont="1" applyFill="1" applyBorder="1" applyAlignment="1" applyProtection="1">
      <alignment horizontal="right" vertical="center"/>
      <protection hidden="1"/>
    </xf>
    <xf numFmtId="3" fontId="8" fillId="5" borderId="17" xfId="0" applyNumberFormat="1" applyFont="1" applyFill="1" applyBorder="1" applyAlignment="1" applyProtection="1">
      <alignment horizontal="right" vertical="center"/>
      <protection hidden="1"/>
    </xf>
    <xf numFmtId="3" fontId="8" fillId="0" borderId="1" xfId="0" applyNumberFormat="1" applyFont="1" applyFill="1" applyBorder="1" applyAlignment="1" applyProtection="1">
      <alignment horizontal="right" vertical="center"/>
      <protection hidden="1"/>
    </xf>
    <xf numFmtId="3" fontId="8" fillId="0" borderId="17" xfId="0" applyNumberFormat="1" applyFont="1" applyFill="1" applyBorder="1" applyAlignment="1" applyProtection="1">
      <alignment horizontal="right" vertical="center"/>
      <protection hidden="1"/>
    </xf>
    <xf numFmtId="168" fontId="7" fillId="5" borderId="16" xfId="4" applyFont="1" applyFill="1" applyBorder="1" applyAlignment="1">
      <alignment horizontal="center" vertical="center" wrapText="1"/>
      <protection hidden="1"/>
    </xf>
    <xf numFmtId="168" fontId="8" fillId="0" borderId="16" xfId="4" applyFont="1" applyFill="1" applyBorder="1" applyAlignment="1">
      <alignment horizontal="center" vertical="center" wrapText="1"/>
      <protection hidden="1"/>
    </xf>
    <xf numFmtId="3" fontId="8" fillId="0" borderId="1" xfId="0" applyNumberFormat="1" applyFont="1" applyFill="1" applyBorder="1" applyAlignment="1" applyProtection="1">
      <alignment horizontal="right" vertical="center"/>
      <protection locked="0"/>
    </xf>
    <xf numFmtId="3" fontId="8" fillId="0" borderId="17" xfId="0" applyNumberFormat="1" applyFont="1" applyFill="1" applyBorder="1" applyAlignment="1" applyProtection="1">
      <alignment horizontal="right" vertical="center"/>
      <protection locked="0"/>
    </xf>
    <xf numFmtId="168" fontId="7" fillId="0" borderId="16" xfId="4" applyFont="1" applyFill="1" applyBorder="1" applyAlignment="1">
      <alignment horizontal="center" vertical="center" wrapText="1"/>
      <protection hidden="1"/>
    </xf>
    <xf numFmtId="166" fontId="7" fillId="0" borderId="39" xfId="1" applyFont="1" applyBorder="1">
      <alignment horizontal="center" vertical="center"/>
      <protection hidden="1"/>
    </xf>
    <xf numFmtId="0" fontId="15" fillId="4" borderId="59" xfId="0" applyFont="1" applyFill="1" applyBorder="1" applyAlignment="1" applyProtection="1">
      <alignment horizontal="center"/>
      <protection hidden="1"/>
    </xf>
    <xf numFmtId="0" fontId="15" fillId="4" borderId="60" xfId="0" applyFont="1" applyFill="1" applyBorder="1" applyAlignment="1" applyProtection="1">
      <alignment horizontal="center"/>
      <protection hidden="1"/>
    </xf>
    <xf numFmtId="3" fontId="0" fillId="0" borderId="10" xfId="0" applyNumberFormat="1" applyFont="1" applyBorder="1" applyAlignment="1" applyProtection="1">
      <alignment horizontal="right" vertical="center"/>
      <protection hidden="1"/>
    </xf>
    <xf numFmtId="3" fontId="0" fillId="5" borderId="10" xfId="0" applyNumberFormat="1" applyFont="1" applyFill="1" applyBorder="1" applyAlignment="1" applyProtection="1">
      <alignment horizontal="right" vertical="center"/>
      <protection hidden="1"/>
    </xf>
    <xf numFmtId="3" fontId="7" fillId="5" borderId="61" xfId="0" applyNumberFormat="1" applyFont="1" applyFill="1" applyBorder="1" applyAlignment="1" applyProtection="1">
      <alignment horizontal="right" vertical="center"/>
      <protection hidden="1"/>
    </xf>
    <xf numFmtId="3" fontId="7" fillId="5" borderId="62"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5" fillId="4" borderId="10" xfId="0" applyFont="1" applyFill="1" applyBorder="1" applyAlignment="1" applyProtection="1">
      <alignment horizontal="center"/>
      <protection hidden="1"/>
    </xf>
    <xf numFmtId="0" fontId="7" fillId="11" borderId="0" xfId="0" applyFont="1" applyFill="1" applyAlignment="1">
      <alignment horizontal="left" wrapText="1"/>
    </xf>
    <xf numFmtId="0" fontId="7" fillId="11" borderId="0" xfId="0" applyFont="1" applyFill="1" applyAlignment="1">
      <alignment horizontal="left"/>
    </xf>
    <xf numFmtId="0" fontId="7" fillId="11" borderId="4" xfId="0" applyFont="1" applyFill="1" applyBorder="1" applyAlignment="1">
      <alignment horizontal="left"/>
    </xf>
    <xf numFmtId="3" fontId="7" fillId="0" borderId="17" xfId="0" applyNumberFormat="1" applyFont="1" applyBorder="1" applyAlignment="1" applyProtection="1">
      <alignment horizontal="right" vertical="center"/>
      <protection locked="0" hidden="1"/>
    </xf>
    <xf numFmtId="3" fontId="7" fillId="5" borderId="17" xfId="0" applyNumberFormat="1" applyFont="1" applyFill="1" applyBorder="1" applyAlignment="1" applyProtection="1">
      <alignment horizontal="right" vertical="center"/>
      <protection locked="0" hidden="1"/>
    </xf>
    <xf numFmtId="3" fontId="0" fillId="5" borderId="17" xfId="0" applyNumberFormat="1" applyFont="1" applyFill="1" applyBorder="1" applyAlignment="1" applyProtection="1">
      <alignment horizontal="right" vertical="center"/>
      <protection hidden="1"/>
    </xf>
    <xf numFmtId="4" fontId="0" fillId="0" borderId="1" xfId="0" applyNumberFormat="1" applyFill="1" applyBorder="1" applyAlignment="1" applyProtection="1">
      <alignment horizontal="right" vertical="center"/>
      <protection locked="0"/>
    </xf>
    <xf numFmtId="4" fontId="0" fillId="0" borderId="17" xfId="0" applyNumberFormat="1" applyFill="1" applyBorder="1" applyAlignment="1" applyProtection="1">
      <alignment horizontal="right" vertical="center"/>
      <protection locked="0"/>
    </xf>
    <xf numFmtId="4" fontId="0" fillId="5" borderId="33" xfId="0" applyNumberFormat="1" applyFill="1" applyBorder="1" applyAlignment="1" applyProtection="1">
      <alignment horizontal="right" vertical="center"/>
      <protection locked="0"/>
    </xf>
    <xf numFmtId="4" fontId="0" fillId="5" borderId="41" xfId="0" applyNumberFormat="1" applyFill="1" applyBorder="1" applyAlignment="1" applyProtection="1">
      <alignment horizontal="right" vertical="center"/>
      <protection locked="0"/>
    </xf>
    <xf numFmtId="171" fontId="8" fillId="0" borderId="1" xfId="0" applyNumberFormat="1" applyFont="1" applyFill="1" applyBorder="1" applyAlignment="1" applyProtection="1">
      <alignment horizontal="right" vertical="center"/>
      <protection locked="0"/>
    </xf>
    <xf numFmtId="171" fontId="8" fillId="0" borderId="17" xfId="0" applyNumberFormat="1" applyFont="1" applyFill="1" applyBorder="1" applyAlignment="1" applyProtection="1">
      <alignment horizontal="right" vertical="center"/>
      <protection locked="0"/>
    </xf>
    <xf numFmtId="3" fontId="0" fillId="5" borderId="1" xfId="0" applyNumberFormat="1" applyFill="1" applyBorder="1" applyAlignment="1" applyProtection="1">
      <alignment horizontal="right" vertical="center"/>
      <protection locked="0"/>
    </xf>
    <xf numFmtId="3" fontId="0" fillId="5" borderId="17" xfId="0" applyNumberFormat="1" applyFill="1" applyBorder="1" applyAlignment="1" applyProtection="1">
      <alignment horizontal="right" vertical="center"/>
      <protection locked="0"/>
    </xf>
    <xf numFmtId="0" fontId="15" fillId="4" borderId="1" xfId="0" applyFont="1" applyFill="1" applyBorder="1" applyAlignment="1" applyProtection="1">
      <alignment horizontal="center" vertical="center" wrapText="1"/>
      <protection hidden="1"/>
    </xf>
    <xf numFmtId="3" fontId="7" fillId="0" borderId="6" xfId="0" applyNumberFormat="1" applyFont="1" applyFill="1" applyBorder="1" applyAlignment="1" applyProtection="1">
      <alignment horizontal="right" vertical="center"/>
      <protection locked="0"/>
    </xf>
    <xf numFmtId="3" fontId="8" fillId="0" borderId="48" xfId="0" applyNumberFormat="1" applyFont="1" applyBorder="1" applyAlignment="1" applyProtection="1">
      <alignment horizontal="right" vertical="center"/>
      <protection locked="0"/>
    </xf>
    <xf numFmtId="3" fontId="0" fillId="5" borderId="17" xfId="0" applyNumberFormat="1" applyFont="1" applyFill="1" applyBorder="1" applyAlignment="1" applyProtection="1">
      <alignment horizontal="right" vertical="center"/>
      <protection locked="0" hidden="1"/>
    </xf>
    <xf numFmtId="3" fontId="0" fillId="0" borderId="17" xfId="0" applyNumberFormat="1" applyFont="1" applyFill="1" applyBorder="1" applyAlignment="1" applyProtection="1">
      <alignment horizontal="right" vertical="center"/>
      <protection locked="0" hidden="1"/>
    </xf>
    <xf numFmtId="3" fontId="0" fillId="5" borderId="6" xfId="0" applyNumberFormat="1" applyFont="1" applyFill="1" applyBorder="1" applyAlignment="1" applyProtection="1">
      <alignment horizontal="right" vertical="center"/>
      <protection locked="0"/>
    </xf>
    <xf numFmtId="3" fontId="0" fillId="0" borderId="1" xfId="0" applyNumberFormat="1" applyFont="1" applyFill="1" applyBorder="1" applyAlignment="1" applyProtection="1">
      <alignment horizontal="right" vertical="center"/>
      <protection hidden="1"/>
    </xf>
    <xf numFmtId="3" fontId="8" fillId="5" borderId="33" xfId="0" applyNumberFormat="1" applyFont="1" applyFill="1" applyBorder="1" applyAlignment="1" applyProtection="1">
      <alignment horizontal="right" vertical="center"/>
      <protection locked="0"/>
    </xf>
    <xf numFmtId="3" fontId="8" fillId="0" borderId="39" xfId="0" applyNumberFormat="1" applyFont="1" applyBorder="1" applyAlignment="1" applyProtection="1">
      <alignment horizontal="right" vertical="center"/>
      <protection locked="0"/>
    </xf>
    <xf numFmtId="3" fontId="7" fillId="0" borderId="15" xfId="0" applyNumberFormat="1" applyFont="1" applyFill="1" applyBorder="1" applyAlignment="1" applyProtection="1">
      <alignment horizontal="right" vertical="center" wrapText="1"/>
      <protection hidden="1"/>
    </xf>
    <xf numFmtId="1" fontId="8" fillId="5" borderId="1" xfId="1" applyNumberFormat="1" applyFill="1" applyBorder="1" applyProtection="1">
      <alignment horizontal="center" vertical="center"/>
      <protection locked="0" hidden="1"/>
    </xf>
    <xf numFmtId="3" fontId="7" fillId="0" borderId="48" xfId="0" applyNumberFormat="1" applyFont="1" applyFill="1" applyBorder="1" applyAlignment="1" applyProtection="1">
      <alignment horizontal="right" vertical="center" wrapText="1"/>
      <protection hidden="1"/>
    </xf>
    <xf numFmtId="3" fontId="0" fillId="0" borderId="17" xfId="0" applyNumberFormat="1" applyFont="1" applyFill="1" applyBorder="1" applyAlignment="1" applyProtection="1">
      <alignment horizontal="right" vertical="center"/>
      <protection hidden="1"/>
    </xf>
    <xf numFmtId="166" fontId="7" fillId="0" borderId="48" xfId="1" applyFont="1" applyFill="1" applyBorder="1">
      <alignment horizontal="center" vertical="center"/>
      <protection hidden="1"/>
    </xf>
    <xf numFmtId="166" fontId="7" fillId="5" borderId="39" xfId="1" applyFont="1" applyFill="1" applyBorder="1">
      <alignment horizontal="center" vertical="center"/>
      <protection hidden="1"/>
    </xf>
    <xf numFmtId="166" fontId="7" fillId="5" borderId="1" xfId="1" applyFont="1" applyFill="1" applyBorder="1" applyProtection="1">
      <alignment horizontal="center" vertical="center"/>
      <protection hidden="1"/>
    </xf>
    <xf numFmtId="166" fontId="7" fillId="5" borderId="61" xfId="1" applyFont="1" applyFill="1" applyBorder="1" applyProtection="1">
      <alignment horizontal="center" vertical="center"/>
      <protection hidden="1"/>
    </xf>
    <xf numFmtId="0" fontId="0" fillId="0" borderId="4" xfId="0" applyBorder="1" applyAlignment="1" applyProtection="1">
      <alignment horizontal="center" vertical="center"/>
      <protection hidden="1"/>
    </xf>
    <xf numFmtId="38" fontId="0" fillId="5" borderId="33" xfId="0" applyNumberFormat="1" applyFont="1" applyFill="1" applyBorder="1" applyAlignment="1" applyProtection="1">
      <alignment horizontal="right" vertical="center" wrapText="1"/>
      <protection locked="0"/>
    </xf>
    <xf numFmtId="38" fontId="0" fillId="5" borderId="41" xfId="0" applyNumberFormat="1" applyFont="1" applyFill="1" applyBorder="1" applyAlignment="1" applyProtection="1">
      <alignment horizontal="right" vertical="center" wrapText="1"/>
      <protection locked="0"/>
    </xf>
    <xf numFmtId="0" fontId="44" fillId="0" borderId="0" xfId="0" applyFont="1" applyProtection="1">
      <protection hidden="1"/>
    </xf>
    <xf numFmtId="49" fontId="8" fillId="0" borderId="0" xfId="11" applyFill="1" applyBorder="1" applyAlignment="1">
      <alignment vertical="center"/>
      <protection hidden="1"/>
    </xf>
    <xf numFmtId="1" fontId="8" fillId="5" borderId="63" xfId="1" applyNumberFormat="1" applyFill="1" applyBorder="1" applyProtection="1">
      <alignment horizontal="center" vertical="center"/>
      <protection locked="0" hidden="1"/>
    </xf>
    <xf numFmtId="1" fontId="8" fillId="0" borderId="1" xfId="1" applyNumberFormat="1" applyFill="1" applyBorder="1" applyProtection="1">
      <alignment horizontal="center" vertical="center"/>
      <protection locked="0" hidden="1"/>
    </xf>
    <xf numFmtId="1" fontId="8" fillId="5" borderId="33" xfId="1" applyNumberFormat="1" applyFill="1" applyBorder="1" applyProtection="1">
      <alignment horizontal="center" vertical="center"/>
      <protection locked="0" hidden="1"/>
    </xf>
    <xf numFmtId="0" fontId="51" fillId="16" borderId="2" xfId="8" applyProtection="1">
      <alignment horizontal="center" vertical="center"/>
    </xf>
    <xf numFmtId="0" fontId="51" fillId="16" borderId="24" xfId="8" applyBorder="1" applyProtection="1">
      <alignment horizontal="center" vertical="center"/>
    </xf>
    <xf numFmtId="0" fontId="51" fillId="16" borderId="5" xfId="8" applyBorder="1" applyProtection="1">
      <alignment horizontal="center" vertical="center"/>
    </xf>
    <xf numFmtId="4" fontId="26" fillId="0" borderId="2" xfId="7" applyNumberFormat="1" applyFont="1" applyBorder="1" applyAlignment="1" applyProtection="1">
      <alignment horizontal="right" vertical="center" wrapText="1"/>
      <protection locked="0"/>
    </xf>
    <xf numFmtId="3" fontId="26" fillId="0" borderId="2" xfId="7" applyNumberFormat="1" applyFont="1" applyBorder="1" applyAlignment="1" applyProtection="1">
      <alignment horizontal="right" vertical="center" wrapText="1"/>
      <protection locked="0"/>
    </xf>
    <xf numFmtId="3" fontId="26" fillId="0" borderId="2" xfId="7" applyNumberFormat="1" applyFont="1" applyBorder="1" applyAlignment="1" applyProtection="1">
      <alignment vertical="center" wrapText="1"/>
    </xf>
    <xf numFmtId="3" fontId="26" fillId="0" borderId="2" xfId="7" applyNumberFormat="1" applyFont="1" applyBorder="1" applyAlignment="1" applyProtection="1">
      <alignment vertical="center" wrapText="1"/>
      <protection locked="0"/>
    </xf>
    <xf numFmtId="3" fontId="26" fillId="0" borderId="2" xfId="7" applyNumberFormat="1" applyFont="1" applyBorder="1" applyAlignment="1" applyProtection="1">
      <alignment horizontal="right" vertical="center" wrapText="1"/>
    </xf>
    <xf numFmtId="3" fontId="35" fillId="0" borderId="1" xfId="0" applyNumberFormat="1" applyFont="1" applyBorder="1" applyAlignment="1" applyProtection="1">
      <alignment horizontal="right" vertical="center"/>
      <protection locked="0"/>
    </xf>
    <xf numFmtId="3" fontId="7" fillId="0" borderId="64" xfId="0" applyNumberFormat="1" applyFont="1" applyBorder="1" applyAlignment="1" applyProtection="1">
      <alignment horizontal="right" vertical="center"/>
      <protection hidden="1"/>
    </xf>
    <xf numFmtId="3" fontId="7" fillId="5" borderId="65" xfId="0" applyNumberFormat="1" applyFont="1" applyFill="1" applyBorder="1" applyAlignment="1" applyProtection="1">
      <alignment horizontal="right" vertical="center"/>
      <protection hidden="1"/>
    </xf>
    <xf numFmtId="3" fontId="0" fillId="12" borderId="64" xfId="0" applyNumberFormat="1" applyFont="1" applyFill="1" applyBorder="1" applyAlignment="1" applyProtection="1">
      <alignment horizontal="right" vertical="center"/>
      <protection hidden="1"/>
    </xf>
    <xf numFmtId="3" fontId="0" fillId="2" borderId="64" xfId="0" applyNumberFormat="1" applyFont="1" applyFill="1" applyBorder="1" applyAlignment="1" applyProtection="1">
      <alignment horizontal="right" vertical="center"/>
      <protection hidden="1"/>
    </xf>
    <xf numFmtId="3" fontId="0" fillId="0" borderId="64" xfId="0" applyNumberFormat="1" applyFont="1" applyBorder="1" applyAlignment="1" applyProtection="1">
      <alignment horizontal="right" vertical="center"/>
      <protection hidden="1"/>
    </xf>
    <xf numFmtId="3" fontId="0" fillId="5" borderId="64" xfId="0" applyNumberFormat="1" applyFont="1" applyFill="1" applyBorder="1" applyAlignment="1" applyProtection="1">
      <alignment horizontal="right" vertical="center"/>
      <protection hidden="1"/>
    </xf>
    <xf numFmtId="3" fontId="7" fillId="5" borderId="64" xfId="0" applyNumberFormat="1" applyFont="1" applyFill="1" applyBorder="1" applyAlignment="1" applyProtection="1">
      <alignment horizontal="right" vertical="center"/>
      <protection hidden="1"/>
    </xf>
    <xf numFmtId="3" fontId="7" fillId="0" borderId="64" xfId="0" applyNumberFormat="1" applyFont="1" applyBorder="1" applyAlignment="1" applyProtection="1">
      <alignment horizontal="right" vertical="center"/>
      <protection locked="0"/>
    </xf>
    <xf numFmtId="3" fontId="7" fillId="0" borderId="64" xfId="0" applyNumberFormat="1" applyFont="1" applyFill="1" applyBorder="1" applyAlignment="1" applyProtection="1">
      <alignment horizontal="right" vertical="center"/>
      <protection hidden="1"/>
    </xf>
    <xf numFmtId="3" fontId="7" fillId="5" borderId="64" xfId="0" applyNumberFormat="1" applyFont="1" applyFill="1" applyBorder="1" applyAlignment="1" applyProtection="1">
      <alignment horizontal="right" vertical="center"/>
      <protection locked="0"/>
    </xf>
    <xf numFmtId="3" fontId="7" fillId="0" borderId="66" xfId="0" applyNumberFormat="1" applyFont="1" applyBorder="1" applyAlignment="1" applyProtection="1">
      <alignment horizontal="right" vertical="center"/>
      <protection hidden="1"/>
    </xf>
    <xf numFmtId="3" fontId="7" fillId="0" borderId="2" xfId="0" applyNumberFormat="1" applyFont="1" applyBorder="1" applyAlignment="1" applyProtection="1">
      <alignment horizontal="right" vertical="center"/>
      <protection hidden="1"/>
    </xf>
    <xf numFmtId="3" fontId="0" fillId="5" borderId="2" xfId="0" applyNumberFormat="1" applyFont="1" applyFill="1" applyBorder="1" applyAlignment="1" applyProtection="1">
      <alignment horizontal="right" vertical="center"/>
      <protection locked="0"/>
    </xf>
    <xf numFmtId="3" fontId="0" fillId="5" borderId="2" xfId="0" applyNumberFormat="1" applyFont="1" applyFill="1" applyBorder="1" applyAlignment="1" applyProtection="1">
      <alignment horizontal="right" vertical="center"/>
      <protection hidden="1"/>
    </xf>
    <xf numFmtId="3" fontId="7" fillId="5" borderId="2" xfId="0" applyNumberFormat="1" applyFont="1" applyFill="1" applyBorder="1" applyAlignment="1" applyProtection="1">
      <alignment horizontal="right" vertical="center"/>
      <protection hidden="1"/>
    </xf>
    <xf numFmtId="3" fontId="0" fillId="2" borderId="64" xfId="0" applyNumberFormat="1" applyFont="1" applyFill="1" applyBorder="1" applyAlignment="1" applyProtection="1">
      <alignment horizontal="right" vertical="center"/>
      <protection locked="0" hidden="1"/>
    </xf>
    <xf numFmtId="3" fontId="0" fillId="5" borderId="1" xfId="0" applyNumberFormat="1" applyFont="1" applyFill="1" applyBorder="1" applyAlignment="1" applyProtection="1">
      <alignment horizontal="right" vertical="center"/>
    </xf>
    <xf numFmtId="3" fontId="7" fillId="5" borderId="1" xfId="0" applyNumberFormat="1" applyFont="1" applyFill="1" applyBorder="1" applyAlignment="1" applyProtection="1">
      <alignment horizontal="right" vertical="center"/>
      <protection locked="0" hidden="1"/>
    </xf>
    <xf numFmtId="0" fontId="18" fillId="0" borderId="0" xfId="0" applyFont="1" applyFill="1" applyAlignment="1" applyProtection="1">
      <alignment horizontal="center" vertical="center"/>
      <protection hidden="1"/>
    </xf>
    <xf numFmtId="0" fontId="21" fillId="16" borderId="70" xfId="8" applyFont="1" applyBorder="1" applyAlignment="1" applyProtection="1">
      <alignment horizontal="center" vertical="center"/>
    </xf>
    <xf numFmtId="0" fontId="21" fillId="16" borderId="71" xfId="8" applyFont="1" applyBorder="1" applyAlignment="1" applyProtection="1">
      <alignment horizontal="center" vertical="center"/>
    </xf>
    <xf numFmtId="0" fontId="21" fillId="16" borderId="72" xfId="8" applyFont="1" applyBorder="1" applyAlignment="1" applyProtection="1">
      <alignment horizontal="center" vertical="center"/>
    </xf>
    <xf numFmtId="0" fontId="21" fillId="16" borderId="51" xfId="8" applyFont="1" applyBorder="1" applyAlignment="1" applyProtection="1">
      <alignment horizontal="center" vertical="center"/>
    </xf>
    <xf numFmtId="0" fontId="21" fillId="16" borderId="0" xfId="8" applyFont="1" applyBorder="1" applyAlignment="1" applyProtection="1">
      <alignment horizontal="center" vertical="center"/>
    </xf>
    <xf numFmtId="0" fontId="21" fillId="16" borderId="73" xfId="8" applyFont="1" applyBorder="1" applyAlignment="1" applyProtection="1">
      <alignment horizontal="center" vertical="center"/>
    </xf>
    <xf numFmtId="0" fontId="21" fillId="16" borderId="74" xfId="8" applyFont="1" applyBorder="1" applyAlignment="1" applyProtection="1">
      <alignment horizontal="center" vertical="center"/>
    </xf>
    <xf numFmtId="0" fontId="21" fillId="16" borderId="75" xfId="8" applyFont="1" applyBorder="1" applyAlignment="1" applyProtection="1">
      <alignment horizontal="center" vertical="center"/>
    </xf>
    <xf numFmtId="0" fontId="21" fillId="16" borderId="76" xfId="8" applyFont="1" applyBorder="1" applyAlignment="1" applyProtection="1">
      <alignment horizontal="center" vertical="center"/>
    </xf>
    <xf numFmtId="0" fontId="21" fillId="0" borderId="4" xfId="8" applyFont="1" applyFill="1" applyBorder="1" applyAlignment="1" applyProtection="1">
      <alignment horizontal="right" vertical="center" indent="1"/>
      <protection hidden="1"/>
    </xf>
    <xf numFmtId="0" fontId="21" fillId="16" borderId="24" xfId="8" applyFont="1" applyBorder="1" applyAlignment="1">
      <alignment horizontal="right" vertical="center" indent="1"/>
      <protection locked="0"/>
    </xf>
    <xf numFmtId="0" fontId="21" fillId="16" borderId="25" xfId="8" applyFont="1" applyBorder="1" applyAlignment="1">
      <alignment horizontal="right" vertical="center" indent="1"/>
      <protection locked="0"/>
    </xf>
    <xf numFmtId="0" fontId="0" fillId="0" borderId="0" xfId="0" applyBorder="1" applyAlignment="1" applyProtection="1">
      <alignment horizontal="right" vertical="center" wrapText="1"/>
      <protection hidden="1"/>
    </xf>
    <xf numFmtId="0" fontId="22" fillId="16" borderId="4" xfId="10" applyFont="1" applyAlignment="1" applyProtection="1">
      <alignment horizontal="left" vertical="center"/>
    </xf>
    <xf numFmtId="0" fontId="1" fillId="16" borderId="4" xfId="10" applyFont="1">
      <alignment horizontal="left" vertical="center"/>
      <protection locked="0"/>
    </xf>
    <xf numFmtId="0" fontId="51" fillId="16" borderId="4" xfId="10">
      <alignment horizontal="left" vertical="center"/>
      <protection locked="0"/>
    </xf>
    <xf numFmtId="0" fontId="51" fillId="16" borderId="4" xfId="10" applyBorder="1">
      <alignment horizontal="left" vertical="center"/>
      <protection locked="0"/>
    </xf>
    <xf numFmtId="0" fontId="51" fillId="16" borderId="24" xfId="8" applyBorder="1" applyAlignment="1">
      <alignment horizontal="right" vertical="center" indent="1"/>
      <protection locked="0"/>
    </xf>
    <xf numFmtId="0" fontId="51" fillId="16" borderId="25" xfId="8" applyBorder="1" applyAlignment="1">
      <alignment horizontal="right" vertical="center" indent="1"/>
      <protection locked="0"/>
    </xf>
    <xf numFmtId="0" fontId="2" fillId="16" borderId="4" xfId="10" applyFont="1">
      <alignment horizontal="left" vertical="center"/>
      <protection locked="0"/>
    </xf>
    <xf numFmtId="0" fontId="3" fillId="16" borderId="4" xfId="10" applyFont="1">
      <alignment horizontal="left" vertical="center"/>
      <protection locked="0"/>
    </xf>
    <xf numFmtId="0" fontId="2" fillId="16" borderId="4" xfId="10" applyFont="1" applyProtection="1">
      <alignment horizontal="left" vertical="center"/>
    </xf>
    <xf numFmtId="0" fontId="51" fillId="16" borderId="4" xfId="10" applyProtection="1">
      <alignment horizontal="left" vertical="center"/>
    </xf>
    <xf numFmtId="0" fontId="51" fillId="16" borderId="69" xfId="8" applyBorder="1" applyAlignment="1">
      <alignment horizontal="right" vertical="center" indent="1"/>
      <protection locked="0"/>
    </xf>
    <xf numFmtId="0" fontId="0" fillId="5" borderId="64" xfId="0" applyFont="1" applyFill="1" applyBorder="1" applyAlignment="1" applyProtection="1">
      <alignment horizontal="left" vertical="center" wrapText="1"/>
      <protection hidden="1"/>
    </xf>
    <xf numFmtId="0" fontId="0" fillId="5" borderId="67" xfId="0" applyFont="1" applyFill="1" applyBorder="1" applyAlignment="1" applyProtection="1">
      <alignment horizontal="left" vertical="center" wrapText="1"/>
      <protection hidden="1"/>
    </xf>
    <xf numFmtId="0" fontId="0" fillId="5" borderId="14" xfId="0" applyFont="1" applyFill="1" applyBorder="1" applyAlignment="1" applyProtection="1">
      <alignment horizontal="left" vertical="center" wrapText="1"/>
      <protection hidden="1"/>
    </xf>
    <xf numFmtId="0" fontId="7" fillId="0" borderId="66" xfId="0" applyFont="1" applyBorder="1" applyAlignment="1" applyProtection="1">
      <alignment horizontal="left" vertical="center" wrapText="1"/>
      <protection hidden="1"/>
    </xf>
    <xf numFmtId="0" fontId="7" fillId="0" borderId="86" xfId="0" applyFont="1" applyBorder="1" applyAlignment="1" applyProtection="1">
      <alignment horizontal="left" vertical="center" wrapText="1"/>
      <protection hidden="1"/>
    </xf>
    <xf numFmtId="0" fontId="7" fillId="0" borderId="68" xfId="0" applyFont="1" applyBorder="1" applyAlignment="1" applyProtection="1">
      <alignment horizontal="left" vertical="center" wrapText="1"/>
      <protection hidden="1"/>
    </xf>
    <xf numFmtId="0" fontId="0" fillId="0" borderId="64" xfId="0" applyFont="1" applyBorder="1" applyAlignment="1" applyProtection="1">
      <alignment horizontal="left" vertical="center" wrapText="1"/>
      <protection hidden="1"/>
    </xf>
    <xf numFmtId="0" fontId="0" fillId="0" borderId="67" xfId="0" applyFont="1" applyBorder="1" applyAlignment="1" applyProtection="1">
      <alignment horizontal="left" vertical="center" wrapText="1"/>
      <protection hidden="1"/>
    </xf>
    <xf numFmtId="0" fontId="0" fillId="0" borderId="14" xfId="0" applyFont="1" applyBorder="1" applyAlignment="1" applyProtection="1">
      <alignment horizontal="left" vertical="center" wrapText="1"/>
      <protection hidden="1"/>
    </xf>
    <xf numFmtId="0" fontId="15" fillId="4" borderId="87" xfId="0" applyFont="1" applyFill="1" applyBorder="1" applyAlignment="1" applyProtection="1">
      <alignment horizontal="center" vertical="center" wrapText="1"/>
      <protection hidden="1"/>
    </xf>
    <xf numFmtId="0" fontId="15" fillId="4" borderId="54" xfId="0" applyFont="1" applyFill="1" applyBorder="1" applyAlignment="1" applyProtection="1">
      <alignment horizontal="center" vertical="center" wrapText="1"/>
      <protection hidden="1"/>
    </xf>
    <xf numFmtId="0" fontId="15" fillId="4" borderId="77" xfId="0" applyFont="1" applyFill="1" applyBorder="1" applyAlignment="1" applyProtection="1">
      <alignment horizontal="center" vertical="center" wrapText="1"/>
      <protection hidden="1"/>
    </xf>
    <xf numFmtId="0" fontId="15" fillId="4" borderId="78" xfId="0" applyFont="1" applyFill="1" applyBorder="1" applyAlignment="1" applyProtection="1">
      <alignment horizontal="center" vertical="center" wrapText="1"/>
      <protection hidden="1"/>
    </xf>
    <xf numFmtId="0" fontId="15" fillId="4" borderId="79" xfId="0" applyFont="1" applyFill="1" applyBorder="1" applyAlignment="1" applyProtection="1">
      <alignment horizontal="center" vertical="center" wrapText="1"/>
      <protection hidden="1"/>
    </xf>
    <xf numFmtId="0" fontId="15" fillId="4" borderId="49" xfId="0" applyFont="1" applyFill="1" applyBorder="1" applyAlignment="1" applyProtection="1">
      <alignment horizontal="center" vertical="center" wrapText="1"/>
      <protection hidden="1"/>
    </xf>
    <xf numFmtId="0" fontId="15" fillId="4" borderId="82" xfId="0" applyFont="1" applyFill="1" applyBorder="1" applyAlignment="1" applyProtection="1">
      <alignment horizontal="center" vertical="center" wrapText="1"/>
      <protection hidden="1"/>
    </xf>
    <xf numFmtId="0" fontId="15" fillId="4" borderId="48" xfId="0" applyFont="1" applyFill="1" applyBorder="1" applyAlignment="1" applyProtection="1">
      <alignment horizontal="center" vertical="center" wrapText="1"/>
      <protection hidden="1"/>
    </xf>
    <xf numFmtId="0" fontId="7" fillId="5" borderId="64" xfId="0" applyFont="1" applyFill="1" applyBorder="1" applyAlignment="1" applyProtection="1">
      <alignment horizontal="left" vertical="center" wrapText="1"/>
      <protection hidden="1"/>
    </xf>
    <xf numFmtId="0" fontId="7" fillId="5" borderId="67" xfId="0" applyFont="1" applyFill="1" applyBorder="1" applyAlignment="1" applyProtection="1">
      <alignment horizontal="left" vertical="center" wrapText="1"/>
      <protection hidden="1"/>
    </xf>
    <xf numFmtId="0" fontId="7" fillId="5" borderId="14" xfId="0" applyFont="1" applyFill="1" applyBorder="1" applyAlignment="1" applyProtection="1">
      <alignment horizontal="left" vertical="center" wrapText="1"/>
      <protection hidden="1"/>
    </xf>
    <xf numFmtId="3" fontId="26" fillId="0" borderId="2" xfId="7" applyNumberFormat="1" applyFont="1" applyBorder="1" applyAlignment="1" applyProtection="1">
      <alignment horizontal="right" vertical="center" wrapText="1"/>
    </xf>
    <xf numFmtId="0" fontId="41" fillId="0" borderId="64" xfId="0" applyFont="1" applyBorder="1" applyAlignment="1" applyProtection="1">
      <alignment horizontal="left" vertical="center" wrapText="1"/>
      <protection hidden="1"/>
    </xf>
    <xf numFmtId="0" fontId="41" fillId="0" borderId="67" xfId="0" applyFont="1" applyBorder="1" applyAlignment="1" applyProtection="1">
      <alignment horizontal="left" vertical="center" wrapText="1"/>
      <protection hidden="1"/>
    </xf>
    <xf numFmtId="0" fontId="41" fillId="0" borderId="14" xfId="0" applyFont="1" applyBorder="1" applyAlignment="1" applyProtection="1">
      <alignment horizontal="left" vertical="center" wrapText="1"/>
      <protection hidden="1"/>
    </xf>
    <xf numFmtId="0" fontId="7" fillId="5" borderId="79" xfId="0" applyFont="1" applyFill="1" applyBorder="1" applyAlignment="1" applyProtection="1">
      <alignment horizontal="left" vertical="center" wrapText="1"/>
      <protection hidden="1"/>
    </xf>
    <xf numFmtId="0" fontId="7" fillId="5" borderId="80" xfId="0" applyFont="1" applyFill="1" applyBorder="1" applyAlignment="1" applyProtection="1">
      <alignment horizontal="left" vertical="center" wrapText="1"/>
      <protection hidden="1"/>
    </xf>
    <xf numFmtId="0" fontId="7" fillId="5" borderId="49" xfId="0" applyFont="1" applyFill="1" applyBorder="1" applyAlignment="1" applyProtection="1">
      <alignment horizontal="left" vertical="center" wrapText="1"/>
      <protection hidden="1"/>
    </xf>
    <xf numFmtId="0" fontId="7" fillId="0" borderId="64" xfId="0" applyFont="1" applyBorder="1" applyAlignment="1" applyProtection="1">
      <alignment horizontal="left" vertical="center" wrapText="1"/>
      <protection hidden="1"/>
    </xf>
    <xf numFmtId="0" fontId="7" fillId="0" borderId="67"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15" fillId="4" borderId="83" xfId="0" applyFont="1" applyFill="1" applyBorder="1" applyAlignment="1" applyProtection="1">
      <alignment horizontal="center" vertical="center" wrapText="1"/>
      <protection hidden="1"/>
    </xf>
    <xf numFmtId="0" fontId="15" fillId="4" borderId="84" xfId="0" applyFont="1" applyFill="1" applyBorder="1" applyAlignment="1" applyProtection="1">
      <alignment horizontal="center" vertical="center" wrapText="1"/>
      <protection hidden="1"/>
    </xf>
    <xf numFmtId="0" fontId="15" fillId="4" borderId="37" xfId="0" applyFont="1" applyFill="1" applyBorder="1" applyAlignment="1" applyProtection="1">
      <alignment horizontal="center"/>
      <protection hidden="1"/>
    </xf>
    <xf numFmtId="0" fontId="15" fillId="4" borderId="81" xfId="0" applyFont="1" applyFill="1" applyBorder="1" applyAlignment="1" applyProtection="1">
      <alignment horizontal="center"/>
      <protection hidden="1"/>
    </xf>
    <xf numFmtId="0" fontId="15" fillId="4" borderId="38" xfId="0" applyFont="1" applyFill="1" applyBorder="1" applyAlignment="1" applyProtection="1">
      <alignment horizontal="center"/>
      <protection hidden="1"/>
    </xf>
    <xf numFmtId="3" fontId="7" fillId="5" borderId="64" xfId="0" applyNumberFormat="1" applyFont="1" applyFill="1" applyBorder="1" applyAlignment="1" applyProtection="1">
      <alignment horizontal="center" vertical="center"/>
      <protection hidden="1"/>
    </xf>
    <xf numFmtId="3" fontId="7" fillId="5" borderId="14" xfId="0" applyNumberFormat="1" applyFont="1" applyFill="1" applyBorder="1" applyAlignment="1" applyProtection="1">
      <alignment horizontal="center" vertical="center"/>
      <protection hidden="1"/>
    </xf>
    <xf numFmtId="3" fontId="7" fillId="0" borderId="64" xfId="0" applyNumberFormat="1" applyFont="1" applyBorder="1" applyAlignment="1" applyProtection="1">
      <alignment horizontal="center" vertical="center"/>
      <protection hidden="1"/>
    </xf>
    <xf numFmtId="3" fontId="7" fillId="0" borderId="14" xfId="0" applyNumberFormat="1" applyFont="1" applyBorder="1" applyAlignment="1" applyProtection="1">
      <alignment horizontal="center" vertical="center"/>
      <protection hidden="1"/>
    </xf>
    <xf numFmtId="0" fontId="41" fillId="5" borderId="64" xfId="0" applyFont="1" applyFill="1" applyBorder="1" applyAlignment="1" applyProtection="1">
      <alignment horizontal="left" vertical="center" wrapText="1"/>
      <protection hidden="1"/>
    </xf>
    <xf numFmtId="0" fontId="41" fillId="5" borderId="67" xfId="0" applyFont="1" applyFill="1" applyBorder="1" applyAlignment="1" applyProtection="1">
      <alignment horizontal="left" vertical="center" wrapText="1"/>
      <protection hidden="1"/>
    </xf>
    <xf numFmtId="0" fontId="41" fillId="5" borderId="14" xfId="0" applyFont="1" applyFill="1" applyBorder="1" applyAlignment="1" applyProtection="1">
      <alignment horizontal="left" vertical="center" wrapText="1"/>
      <protection hidden="1"/>
    </xf>
    <xf numFmtId="0" fontId="23" fillId="0" borderId="64" xfId="0" applyFont="1" applyBorder="1" applyAlignment="1" applyProtection="1">
      <alignment horizontal="left" vertical="center" wrapText="1"/>
      <protection hidden="1"/>
    </xf>
    <xf numFmtId="0" fontId="23" fillId="0" borderId="67" xfId="0" applyFont="1" applyBorder="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5" borderId="64" xfId="0" applyFont="1" applyFill="1" applyBorder="1" applyAlignment="1" applyProtection="1">
      <alignment horizontal="left" vertical="center" wrapText="1"/>
      <protection hidden="1"/>
    </xf>
    <xf numFmtId="0" fontId="23" fillId="5" borderId="67" xfId="0" applyFont="1" applyFill="1" applyBorder="1" applyAlignment="1" applyProtection="1">
      <alignment horizontal="left" vertical="center" wrapText="1"/>
      <protection hidden="1"/>
    </xf>
    <xf numFmtId="0" fontId="23" fillId="5" borderId="14" xfId="0" applyFont="1" applyFill="1" applyBorder="1" applyAlignment="1" applyProtection="1">
      <alignment horizontal="left" vertical="center" wrapText="1"/>
      <protection hidden="1"/>
    </xf>
    <xf numFmtId="0" fontId="15" fillId="4" borderId="77" xfId="0" applyFont="1" applyFill="1" applyBorder="1" applyAlignment="1" applyProtection="1">
      <alignment horizontal="center" vertical="center"/>
      <protection hidden="1"/>
    </xf>
    <xf numFmtId="0" fontId="15" fillId="4" borderId="32" xfId="0" applyFont="1" applyFill="1" applyBorder="1" applyAlignment="1" applyProtection="1">
      <alignment horizontal="center" vertical="center"/>
      <protection hidden="1"/>
    </xf>
    <xf numFmtId="0" fontId="15" fillId="4" borderId="78"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15" fillId="4" borderId="80" xfId="0" applyFont="1" applyFill="1" applyBorder="1" applyAlignment="1" applyProtection="1">
      <alignment horizontal="center" vertical="center"/>
      <protection hidden="1"/>
    </xf>
    <xf numFmtId="0" fontId="15" fillId="4" borderId="49" xfId="0" applyFont="1" applyFill="1" applyBorder="1" applyAlignment="1" applyProtection="1">
      <alignment horizontal="center" vertical="center"/>
      <protection hidden="1"/>
    </xf>
    <xf numFmtId="0" fontId="30" fillId="4" borderId="82" xfId="0" applyFont="1" applyFill="1" applyBorder="1" applyAlignment="1" applyProtection="1">
      <alignment horizontal="center" vertical="center" wrapText="1"/>
      <protection hidden="1"/>
    </xf>
    <xf numFmtId="0" fontId="30" fillId="4" borderId="48" xfId="0" applyFont="1" applyFill="1" applyBorder="1" applyAlignment="1" applyProtection="1">
      <alignment horizontal="center" vertical="center" wrapText="1"/>
      <protection hidden="1"/>
    </xf>
    <xf numFmtId="0" fontId="15" fillId="4" borderId="39" xfId="0" applyFont="1" applyFill="1" applyBorder="1" applyAlignment="1" applyProtection="1">
      <alignment horizontal="center" vertical="center" wrapText="1"/>
      <protection hidden="1"/>
    </xf>
    <xf numFmtId="0" fontId="15" fillId="4" borderId="85" xfId="0" applyFont="1" applyFill="1" applyBorder="1" applyAlignment="1" applyProtection="1">
      <alignment horizontal="center" vertical="center" wrapText="1"/>
      <protection hidden="1"/>
    </xf>
    <xf numFmtId="0" fontId="8" fillId="0" borderId="4" xfId="12" applyFont="1" applyBorder="1" applyAlignment="1">
      <alignment horizontal="left" vertical="center"/>
      <protection hidden="1"/>
    </xf>
    <xf numFmtId="0" fontId="0" fillId="0" borderId="0" xfId="0" applyFont="1" applyFill="1" applyBorder="1" applyAlignment="1" applyProtection="1">
      <alignment horizontal="center" vertical="center"/>
      <protection hidden="1"/>
    </xf>
    <xf numFmtId="0" fontId="15" fillId="4" borderId="39" xfId="0" applyFont="1" applyFill="1" applyBorder="1" applyAlignment="1" applyProtection="1">
      <alignment horizontal="center" vertical="center"/>
      <protection hidden="1"/>
    </xf>
    <xf numFmtId="0" fontId="8" fillId="0" borderId="0" xfId="0" applyFont="1" applyBorder="1" applyAlignment="1" applyProtection="1">
      <alignment horizontal="left" wrapText="1"/>
      <protection hidden="1"/>
    </xf>
    <xf numFmtId="0" fontId="8" fillId="0" borderId="0" xfId="12" applyFont="1" applyBorder="1">
      <alignment horizontal="left" indent="1"/>
      <protection hidden="1"/>
    </xf>
    <xf numFmtId="0" fontId="8" fillId="0" borderId="0" xfId="0" applyFont="1" applyAlignment="1" applyProtection="1">
      <alignment horizontal="left" vertical="center" wrapText="1"/>
      <protection hidden="1"/>
    </xf>
    <xf numFmtId="49" fontId="7" fillId="0" borderId="4" xfId="11" applyFont="1" applyBorder="1" applyAlignment="1">
      <alignment horizontal="left" vertical="center"/>
      <protection hidden="1"/>
    </xf>
    <xf numFmtId="49" fontId="8" fillId="0" borderId="4" xfId="11" applyFont="1" applyBorder="1" applyAlignment="1">
      <alignment horizontal="left" vertical="center"/>
      <protection hidden="1"/>
    </xf>
    <xf numFmtId="0" fontId="6" fillId="0" borderId="0" xfId="0" applyFont="1" applyFill="1" applyBorder="1" applyAlignment="1" applyProtection="1">
      <alignment horizontal="center" vertical="center"/>
      <protection hidden="1"/>
    </xf>
    <xf numFmtId="49" fontId="8" fillId="0" borderId="0" xfId="11" applyFont="1" applyBorder="1" applyAlignment="1">
      <alignment horizontal="right" vertical="center"/>
      <protection hidden="1"/>
    </xf>
    <xf numFmtId="0" fontId="0" fillId="0" borderId="0" xfId="0" applyAlignment="1">
      <alignment horizontal="right" vertical="center"/>
    </xf>
    <xf numFmtId="49" fontId="8" fillId="0" borderId="0" xfId="11" applyFill="1" applyBorder="1" applyAlignment="1">
      <alignment horizontal="right" vertical="center"/>
      <protection hidden="1"/>
    </xf>
    <xf numFmtId="3" fontId="7" fillId="0" borderId="66" xfId="0" applyNumberFormat="1" applyFont="1" applyBorder="1" applyAlignment="1" applyProtection="1">
      <alignment horizontal="center" vertical="center"/>
      <protection hidden="1"/>
    </xf>
    <xf numFmtId="3" fontId="7" fillId="0" borderId="68" xfId="0" applyNumberFormat="1" applyFont="1" applyBorder="1" applyAlignment="1" applyProtection="1">
      <alignment horizontal="center" vertical="center"/>
      <protection hidden="1"/>
    </xf>
    <xf numFmtId="0" fontId="8" fillId="5" borderId="64" xfId="0" applyFont="1" applyFill="1" applyBorder="1" applyAlignment="1" applyProtection="1">
      <alignment horizontal="left" vertical="center" wrapText="1"/>
      <protection hidden="1"/>
    </xf>
    <xf numFmtId="0" fontId="8" fillId="5" borderId="67" xfId="0" applyFont="1" applyFill="1" applyBorder="1" applyAlignment="1" applyProtection="1">
      <alignment horizontal="left" vertical="center" wrapText="1"/>
      <protection hidden="1"/>
    </xf>
    <xf numFmtId="0" fontId="8" fillId="5" borderId="14" xfId="0" applyFont="1" applyFill="1" applyBorder="1" applyAlignment="1" applyProtection="1">
      <alignment horizontal="left" vertical="center" wrapText="1"/>
      <protection hidden="1"/>
    </xf>
    <xf numFmtId="0" fontId="8" fillId="0" borderId="64" xfId="0" applyFont="1" applyBorder="1" applyAlignment="1" applyProtection="1">
      <alignment horizontal="left" vertical="center" wrapText="1"/>
      <protection hidden="1"/>
    </xf>
    <xf numFmtId="0" fontId="8" fillId="0" borderId="67"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15" fillId="4" borderId="88" xfId="0" applyFont="1" applyFill="1" applyBorder="1" applyAlignment="1" applyProtection="1">
      <alignment horizontal="center" vertical="center" wrapText="1"/>
      <protection hidden="1"/>
    </xf>
    <xf numFmtId="0" fontId="15" fillId="4" borderId="89" xfId="0" applyFont="1" applyFill="1" applyBorder="1" applyAlignment="1" applyProtection="1">
      <alignment horizontal="center" vertical="center" wrapText="1"/>
      <protection hidden="1"/>
    </xf>
    <xf numFmtId="0" fontId="23" fillId="5" borderId="66" xfId="0" applyFont="1" applyFill="1" applyBorder="1" applyAlignment="1" applyProtection="1">
      <alignment horizontal="left" vertical="center" wrapText="1"/>
      <protection hidden="1"/>
    </xf>
    <xf numFmtId="0" fontId="23" fillId="5" borderId="86" xfId="0" applyFont="1" applyFill="1" applyBorder="1" applyAlignment="1" applyProtection="1">
      <alignment horizontal="left" vertical="center" wrapText="1"/>
      <protection hidden="1"/>
    </xf>
    <xf numFmtId="0" fontId="23" fillId="5" borderId="68" xfId="0" applyFont="1" applyFill="1" applyBorder="1" applyAlignment="1" applyProtection="1">
      <alignment horizontal="left" vertical="center" wrapText="1"/>
      <protection hidden="1"/>
    </xf>
    <xf numFmtId="0" fontId="8" fillId="0" borderId="69" xfId="12" applyFont="1" applyBorder="1" applyAlignment="1">
      <alignment horizontal="left" vertical="center"/>
      <protection hidden="1"/>
    </xf>
    <xf numFmtId="0" fontId="30" fillId="4" borderId="92" xfId="0" applyFont="1" applyFill="1" applyBorder="1" applyAlignment="1" applyProtection="1">
      <alignment horizontal="center" vertical="center" wrapText="1"/>
      <protection hidden="1"/>
    </xf>
    <xf numFmtId="0" fontId="30" fillId="4" borderId="93" xfId="0" applyFont="1" applyFill="1" applyBorder="1" applyAlignment="1" applyProtection="1">
      <alignment horizontal="center" vertical="center" wrapText="1"/>
      <protection hidden="1"/>
    </xf>
    <xf numFmtId="0" fontId="30" fillId="4" borderId="94" xfId="0" applyFont="1" applyFill="1" applyBorder="1" applyAlignment="1" applyProtection="1">
      <alignment horizontal="center" vertical="center"/>
      <protection hidden="1"/>
    </xf>
    <xf numFmtId="0" fontId="30" fillId="4" borderId="32" xfId="0" applyFont="1" applyFill="1" applyBorder="1" applyAlignment="1" applyProtection="1">
      <alignment horizontal="center" vertical="center"/>
      <protection hidden="1"/>
    </xf>
    <xf numFmtId="0" fontId="30" fillId="4" borderId="95" xfId="0" applyFont="1" applyFill="1" applyBorder="1" applyAlignment="1" applyProtection="1">
      <alignment horizontal="center" vertical="center"/>
      <protection hidden="1"/>
    </xf>
    <xf numFmtId="0" fontId="30" fillId="4" borderId="96" xfId="0" applyFont="1" applyFill="1" applyBorder="1" applyAlignment="1" applyProtection="1">
      <alignment horizontal="center" vertical="center"/>
      <protection hidden="1"/>
    </xf>
    <xf numFmtId="0" fontId="30" fillId="4" borderId="97" xfId="0" applyFont="1" applyFill="1" applyBorder="1" applyAlignment="1" applyProtection="1">
      <alignment horizontal="center" vertical="center"/>
      <protection hidden="1"/>
    </xf>
    <xf numFmtId="0" fontId="30" fillId="4" borderId="98" xfId="0" applyFont="1" applyFill="1" applyBorder="1" applyAlignment="1" applyProtection="1">
      <alignment horizontal="center" vertical="center"/>
      <protection hidden="1"/>
    </xf>
    <xf numFmtId="0" fontId="30" fillId="4" borderId="99" xfId="0" applyFont="1" applyFill="1" applyBorder="1" applyAlignment="1" applyProtection="1">
      <alignment horizontal="center"/>
      <protection hidden="1"/>
    </xf>
    <xf numFmtId="0" fontId="30" fillId="4" borderId="100" xfId="0" applyFont="1" applyFill="1" applyBorder="1" applyAlignment="1" applyProtection="1">
      <alignment horizontal="center"/>
      <protection hidden="1"/>
    </xf>
    <xf numFmtId="0" fontId="30" fillId="4" borderId="101" xfId="0" applyFont="1" applyFill="1" applyBorder="1" applyAlignment="1" applyProtection="1">
      <alignment horizontal="center"/>
      <protection hidden="1"/>
    </xf>
    <xf numFmtId="0" fontId="7" fillId="0" borderId="63" xfId="0" applyFont="1" applyBorder="1" applyAlignment="1" applyProtection="1">
      <alignment horizontal="left" vertical="center" wrapText="1"/>
      <protection hidden="1"/>
    </xf>
    <xf numFmtId="0" fontId="7" fillId="0" borderId="102" xfId="0" applyFont="1" applyBorder="1" applyAlignment="1" applyProtection="1">
      <alignment horizontal="left" vertical="center" wrapText="1"/>
      <protection hidden="1"/>
    </xf>
    <xf numFmtId="0" fontId="7" fillId="0" borderId="103" xfId="0" applyFont="1" applyBorder="1" applyAlignment="1" applyProtection="1">
      <alignment horizontal="left" vertical="center" wrapText="1"/>
      <protection hidden="1"/>
    </xf>
    <xf numFmtId="0" fontId="8" fillId="0" borderId="0" xfId="0" applyFont="1" applyBorder="1" applyAlignment="1" applyProtection="1">
      <alignment horizontal="right" vertical="center"/>
      <protection hidden="1"/>
    </xf>
    <xf numFmtId="0" fontId="0" fillId="0" borderId="0" xfId="0" applyFill="1" applyBorder="1" applyAlignment="1" applyProtection="1">
      <alignment horizontal="center" vertical="center"/>
      <protection hidden="1"/>
    </xf>
    <xf numFmtId="0" fontId="15" fillId="4" borderId="90" xfId="0" applyFont="1" applyFill="1" applyBorder="1" applyAlignment="1" applyProtection="1">
      <alignment horizontal="center" vertical="center"/>
      <protection hidden="1"/>
    </xf>
    <xf numFmtId="0" fontId="15" fillId="4" borderId="91" xfId="0" applyFont="1" applyFill="1" applyBorder="1" applyAlignment="1" applyProtection="1">
      <alignment horizontal="center" vertical="center"/>
      <protection hidden="1"/>
    </xf>
    <xf numFmtId="0" fontId="0" fillId="0" borderId="0" xfId="0" applyBorder="1"/>
    <xf numFmtId="0" fontId="23" fillId="5" borderId="1" xfId="0" applyFont="1" applyFill="1" applyBorder="1" applyAlignment="1" applyProtection="1">
      <alignment horizontal="left" vertical="center" wrapText="1"/>
      <protection hidden="1"/>
    </xf>
    <xf numFmtId="0" fontId="0" fillId="0" borderId="1" xfId="0" applyFont="1" applyFill="1" applyBorder="1" applyAlignment="1" applyProtection="1">
      <alignment horizontal="left" vertical="center" wrapText="1"/>
      <protection hidden="1"/>
    </xf>
    <xf numFmtId="49" fontId="8" fillId="0" borderId="4" xfId="11" applyFont="1" applyBorder="1" applyAlignment="1">
      <alignment horizontal="center" vertical="center"/>
      <protection hidden="1"/>
    </xf>
    <xf numFmtId="0" fontId="0" fillId="5" borderId="1" xfId="0" applyFont="1" applyFill="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3" fontId="0" fillId="0" borderId="0" xfId="0" applyNumberFormat="1" applyFill="1" applyBorder="1" applyAlignment="1" applyProtection="1">
      <alignment horizontal="center" vertical="center"/>
      <protection hidden="1"/>
    </xf>
    <xf numFmtId="0" fontId="0" fillId="0" borderId="0" xfId="0" applyAlignment="1">
      <alignment horizontal="center" vertical="center"/>
    </xf>
    <xf numFmtId="0" fontId="8" fillId="0" borderId="69" xfId="12" applyFont="1" applyBorder="1" applyAlignment="1">
      <alignment horizontal="center" vertical="center"/>
      <protection hidden="1"/>
    </xf>
    <xf numFmtId="0" fontId="7" fillId="5" borderId="1"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left" vertical="center" wrapText="1"/>
      <protection hidden="1"/>
    </xf>
    <xf numFmtId="0" fontId="15" fillId="4" borderId="19" xfId="0" applyFont="1" applyFill="1" applyBorder="1" applyAlignment="1" applyProtection="1">
      <alignment horizontal="center"/>
      <protection hidden="1"/>
    </xf>
    <xf numFmtId="0" fontId="7" fillId="5" borderId="39" xfId="0" applyFont="1" applyFill="1" applyBorder="1" applyAlignment="1" applyProtection="1">
      <alignment horizontal="left" vertical="center" wrapText="1"/>
      <protection hidden="1"/>
    </xf>
    <xf numFmtId="0" fontId="8" fillId="0" borderId="4" xfId="12" applyFont="1" applyBorder="1" applyAlignment="1">
      <alignment horizontal="center" vertical="center"/>
      <protection hidden="1"/>
    </xf>
    <xf numFmtId="0" fontId="8" fillId="0" borderId="0" xfId="0" applyFont="1" applyAlignment="1" applyProtection="1">
      <alignment horizontal="right" vertical="center"/>
      <protection hidden="1"/>
    </xf>
    <xf numFmtId="0" fontId="13" fillId="0" borderId="0" xfId="0" applyFont="1" applyFill="1" applyBorder="1" applyAlignment="1" applyProtection="1">
      <alignment horizontal="center" vertical="center"/>
      <protection hidden="1"/>
    </xf>
    <xf numFmtId="0" fontId="15" fillId="4" borderId="104" xfId="0" applyFont="1" applyFill="1" applyBorder="1" applyAlignment="1" applyProtection="1">
      <alignment horizontal="center" vertical="center" wrapText="1"/>
      <protection hidden="1"/>
    </xf>
    <xf numFmtId="0" fontId="15" fillId="4" borderId="11" xfId="0" applyFont="1" applyFill="1" applyBorder="1" applyAlignment="1" applyProtection="1">
      <alignment horizontal="center" vertical="center" wrapText="1"/>
      <protection hidden="1"/>
    </xf>
    <xf numFmtId="0" fontId="15" fillId="4" borderId="105" xfId="0" applyFont="1" applyFill="1" applyBorder="1" applyAlignment="1" applyProtection="1">
      <alignment horizontal="center" vertical="center"/>
      <protection hidden="1"/>
    </xf>
    <xf numFmtId="0" fontId="15" fillId="4" borderId="106" xfId="0" applyFont="1" applyFill="1" applyBorder="1" applyAlignment="1" applyProtection="1">
      <alignment horizontal="center" vertical="center" wrapText="1"/>
      <protection hidden="1"/>
    </xf>
    <xf numFmtId="0" fontId="15" fillId="4" borderId="107" xfId="0" applyFont="1" applyFill="1" applyBorder="1" applyAlignment="1" applyProtection="1">
      <alignment horizontal="center" vertical="center" wrapText="1"/>
      <protection hidden="1"/>
    </xf>
    <xf numFmtId="0" fontId="15" fillId="4" borderId="104" xfId="0" applyFont="1" applyFill="1" applyBorder="1" applyAlignment="1" applyProtection="1">
      <alignment horizontal="center" vertical="center"/>
      <protection hidden="1"/>
    </xf>
    <xf numFmtId="0" fontId="15" fillId="4" borderId="11" xfId="0" applyFont="1" applyFill="1" applyBorder="1" applyAlignment="1" applyProtection="1">
      <alignment horizontal="center" vertical="center"/>
      <protection hidden="1"/>
    </xf>
    <xf numFmtId="49" fontId="8" fillId="0" borderId="0" xfId="11" applyFill="1" applyBorder="1" applyAlignment="1">
      <alignment horizontal="center" vertical="center"/>
      <protection hidden="1"/>
    </xf>
    <xf numFmtId="0" fontId="0" fillId="5" borderId="33" xfId="0" applyFont="1" applyFill="1" applyBorder="1" applyAlignment="1" applyProtection="1">
      <alignment horizontal="left" vertical="center" wrapText="1"/>
      <protection hidden="1"/>
    </xf>
    <xf numFmtId="0" fontId="0" fillId="0" borderId="0" xfId="0" applyFill="1" applyAlignment="1" applyProtection="1">
      <alignment horizontal="center" vertical="center"/>
      <protection hidden="1"/>
    </xf>
    <xf numFmtId="49" fontId="7" fillId="0" borderId="0" xfId="11" applyFont="1" applyBorder="1" applyAlignment="1">
      <alignment horizontal="left" vertical="center"/>
      <protection hidden="1"/>
    </xf>
    <xf numFmtId="0" fontId="0" fillId="0" borderId="1" xfId="0" applyFont="1" applyBorder="1" applyAlignment="1" applyProtection="1">
      <alignment horizontal="left" vertical="center" wrapText="1"/>
      <protection hidden="1"/>
    </xf>
    <xf numFmtId="0" fontId="6" fillId="0" borderId="0" xfId="0" applyFont="1" applyFill="1" applyAlignment="1" applyProtection="1">
      <alignment horizontal="center" vertical="center"/>
      <protection hidden="1"/>
    </xf>
    <xf numFmtId="0" fontId="7" fillId="0" borderId="1" xfId="0" applyFont="1" applyBorder="1" applyAlignment="1" applyProtection="1">
      <alignment horizontal="left" vertical="center" wrapText="1"/>
      <protection hidden="1"/>
    </xf>
    <xf numFmtId="0" fontId="7" fillId="5" borderId="33" xfId="0" applyFont="1" applyFill="1" applyBorder="1" applyAlignment="1" applyProtection="1">
      <alignment horizontal="left" vertical="center" wrapText="1"/>
      <protection hidden="1"/>
    </xf>
    <xf numFmtId="0" fontId="7" fillId="0" borderId="39" xfId="0" applyFont="1" applyBorder="1" applyAlignment="1" applyProtection="1">
      <alignment horizontal="left" vertical="center" wrapText="1"/>
      <protection hidden="1"/>
    </xf>
    <xf numFmtId="0" fontId="0" fillId="0" borderId="4" xfId="0" applyBorder="1" applyAlignment="1" applyProtection="1">
      <alignment horizontal="left" vertical="center"/>
      <protection hidden="1"/>
    </xf>
    <xf numFmtId="0" fontId="0" fillId="0" borderId="0" xfId="0" applyAlignment="1" applyProtection="1">
      <alignment horizontal="center"/>
      <protection hidden="1"/>
    </xf>
    <xf numFmtId="0" fontId="0" fillId="5" borderId="66" xfId="0" applyFont="1" applyFill="1" applyBorder="1" applyAlignment="1" applyProtection="1">
      <alignment horizontal="left" vertical="center" wrapText="1"/>
      <protection hidden="1"/>
    </xf>
    <xf numFmtId="0" fontId="0" fillId="5" borderId="86" xfId="0" applyFont="1" applyFill="1" applyBorder="1" applyAlignment="1" applyProtection="1">
      <alignment horizontal="left" vertical="center" wrapText="1"/>
      <protection hidden="1"/>
    </xf>
    <xf numFmtId="0" fontId="0" fillId="5" borderId="68" xfId="0" applyFont="1" applyFill="1" applyBorder="1" applyAlignment="1" applyProtection="1">
      <alignment horizontal="left" vertical="center" wrapText="1"/>
      <protection hidden="1"/>
    </xf>
    <xf numFmtId="0" fontId="0" fillId="0" borderId="4" xfId="0" applyBorder="1" applyAlignment="1" applyProtection="1">
      <alignment horizontal="center"/>
      <protection hidden="1"/>
    </xf>
    <xf numFmtId="49" fontId="8" fillId="0" borderId="0" xfId="11" applyFont="1" applyBorder="1" applyAlignment="1">
      <alignment horizontal="right" vertical="center" wrapText="1"/>
      <protection hidden="1"/>
    </xf>
    <xf numFmtId="49" fontId="8" fillId="0" borderId="69" xfId="11" applyFont="1" applyBorder="1" applyAlignment="1">
      <alignment horizontal="left" vertical="center"/>
      <protection hidden="1"/>
    </xf>
    <xf numFmtId="0" fontId="15" fillId="4" borderId="108" xfId="0" applyFont="1" applyFill="1" applyBorder="1" applyAlignment="1" applyProtection="1">
      <alignment horizontal="center" vertical="center"/>
      <protection hidden="1"/>
    </xf>
    <xf numFmtId="0" fontId="0" fillId="0" borderId="39" xfId="0" applyFont="1" applyBorder="1" applyAlignment="1" applyProtection="1">
      <alignment horizontal="left" vertical="center" wrapText="1"/>
      <protection hidden="1"/>
    </xf>
    <xf numFmtId="0" fontId="7" fillId="5" borderId="123" xfId="0" applyFont="1" applyFill="1" applyBorder="1" applyAlignment="1" applyProtection="1">
      <alignment vertical="center" wrapText="1"/>
      <protection hidden="1"/>
    </xf>
    <xf numFmtId="0" fontId="7" fillId="5" borderId="124" xfId="0" applyFont="1" applyFill="1" applyBorder="1" applyAlignment="1" applyProtection="1">
      <alignment vertical="center" wrapText="1"/>
      <protection hidden="1"/>
    </xf>
    <xf numFmtId="0" fontId="7" fillId="5" borderId="125" xfId="0" applyFont="1" applyFill="1" applyBorder="1" applyAlignment="1" applyProtection="1">
      <alignment vertical="center" wrapText="1"/>
      <protection hidden="1"/>
    </xf>
    <xf numFmtId="0" fontId="0" fillId="5" borderId="117" xfId="0" applyFont="1" applyFill="1" applyBorder="1" applyAlignment="1" applyProtection="1">
      <alignment vertical="center" wrapText="1"/>
      <protection hidden="1"/>
    </xf>
    <xf numFmtId="0" fontId="0" fillId="5" borderId="67" xfId="0" applyFont="1" applyFill="1" applyBorder="1" applyAlignment="1" applyProtection="1">
      <alignment vertical="center" wrapText="1"/>
      <protection hidden="1"/>
    </xf>
    <xf numFmtId="0" fontId="0" fillId="5" borderId="14" xfId="0" applyFont="1" applyFill="1" applyBorder="1" applyAlignment="1" applyProtection="1">
      <alignment vertical="center" wrapText="1"/>
      <protection hidden="1"/>
    </xf>
    <xf numFmtId="0" fontId="0" fillId="0" borderId="117" xfId="0" applyFont="1" applyBorder="1" applyAlignment="1" applyProtection="1">
      <alignment vertical="center" wrapText="1"/>
      <protection hidden="1"/>
    </xf>
    <xf numFmtId="0" fontId="0" fillId="0" borderId="67" xfId="0" applyFont="1" applyBorder="1" applyAlignment="1" applyProtection="1">
      <alignment vertical="center" wrapText="1"/>
      <protection hidden="1"/>
    </xf>
    <xf numFmtId="0" fontId="0" fillId="0" borderId="14" xfId="0" applyFont="1" applyBorder="1" applyAlignment="1" applyProtection="1">
      <alignment vertical="center" wrapText="1"/>
      <protection hidden="1"/>
    </xf>
    <xf numFmtId="0" fontId="15" fillId="4" borderId="119" xfId="0" applyFont="1" applyFill="1" applyBorder="1" applyAlignment="1" applyProtection="1">
      <alignment horizontal="center" vertical="center" wrapText="1"/>
      <protection hidden="1"/>
    </xf>
    <xf numFmtId="0" fontId="15" fillId="4" borderId="120" xfId="0" applyFont="1" applyFill="1" applyBorder="1" applyAlignment="1" applyProtection="1">
      <alignment horizontal="center" vertical="center" wrapText="1"/>
      <protection hidden="1"/>
    </xf>
    <xf numFmtId="0" fontId="15" fillId="4" borderId="121" xfId="0" applyFont="1" applyFill="1" applyBorder="1" applyAlignment="1" applyProtection="1">
      <alignment horizontal="center" vertical="center" wrapText="1"/>
      <protection hidden="1"/>
    </xf>
    <xf numFmtId="0" fontId="15" fillId="4" borderId="122" xfId="0" applyFont="1" applyFill="1" applyBorder="1" applyAlignment="1" applyProtection="1">
      <alignment horizontal="center" vertical="center" wrapText="1"/>
      <protection hidden="1"/>
    </xf>
    <xf numFmtId="0" fontId="15" fillId="4" borderId="80" xfId="0" applyFont="1" applyFill="1" applyBorder="1" applyAlignment="1" applyProtection="1">
      <alignment horizontal="center" vertical="center" wrapText="1"/>
      <protection hidden="1"/>
    </xf>
    <xf numFmtId="0" fontId="7" fillId="5" borderId="117" xfId="0" applyFont="1" applyFill="1" applyBorder="1" applyAlignment="1" applyProtection="1">
      <alignment vertical="center" wrapText="1"/>
      <protection hidden="1"/>
    </xf>
    <xf numFmtId="0" fontId="7" fillId="5" borderId="67" xfId="0" applyFont="1" applyFill="1" applyBorder="1" applyAlignment="1" applyProtection="1">
      <alignment vertical="center" wrapText="1"/>
      <protection hidden="1"/>
    </xf>
    <xf numFmtId="0" fontId="7" fillId="5" borderId="14" xfId="0" applyFont="1" applyFill="1" applyBorder="1" applyAlignment="1" applyProtection="1">
      <alignment vertical="center" wrapText="1"/>
      <protection hidden="1"/>
    </xf>
    <xf numFmtId="0" fontId="15" fillId="4" borderId="118" xfId="0" applyFont="1" applyFill="1" applyBorder="1" applyAlignment="1" applyProtection="1">
      <alignment horizontal="center" wrapText="1"/>
      <protection hidden="1"/>
    </xf>
    <xf numFmtId="0" fontId="15" fillId="4" borderId="86" xfId="0" applyFont="1" applyFill="1" applyBorder="1" applyAlignment="1" applyProtection="1">
      <alignment horizontal="center" wrapText="1"/>
      <protection hidden="1"/>
    </xf>
    <xf numFmtId="0" fontId="15" fillId="4" borderId="68" xfId="0" applyFont="1" applyFill="1" applyBorder="1" applyAlignment="1" applyProtection="1">
      <alignment horizontal="center" wrapText="1"/>
      <protection hidden="1"/>
    </xf>
    <xf numFmtId="0" fontId="7" fillId="0" borderId="109" xfId="0" applyFont="1" applyBorder="1" applyAlignment="1" applyProtection="1">
      <alignment vertical="center" wrapText="1"/>
      <protection hidden="1"/>
    </xf>
    <xf numFmtId="0" fontId="7" fillId="0" borderId="102" xfId="0" applyFont="1" applyBorder="1" applyAlignment="1" applyProtection="1">
      <alignment vertical="center" wrapText="1"/>
      <protection hidden="1"/>
    </xf>
    <xf numFmtId="0" fontId="7" fillId="0" borderId="103" xfId="0" applyFont="1" applyBorder="1" applyAlignment="1" applyProtection="1">
      <alignment vertical="center" wrapText="1"/>
      <protection hidden="1"/>
    </xf>
    <xf numFmtId="0" fontId="15" fillId="4" borderId="110" xfId="0" applyFont="1" applyFill="1" applyBorder="1" applyAlignment="1" applyProtection="1">
      <alignment horizontal="center" vertical="center"/>
      <protection hidden="1"/>
    </xf>
    <xf numFmtId="0" fontId="15" fillId="4" borderId="111" xfId="0" applyFont="1" applyFill="1" applyBorder="1" applyAlignment="1" applyProtection="1">
      <alignment horizontal="center" vertical="center"/>
      <protection hidden="1"/>
    </xf>
    <xf numFmtId="0" fontId="15" fillId="4" borderId="112" xfId="0" applyFont="1" applyFill="1" applyBorder="1" applyAlignment="1" applyProtection="1">
      <alignment horizontal="center" vertical="center"/>
      <protection hidden="1"/>
    </xf>
    <xf numFmtId="0" fontId="15" fillId="4" borderId="113"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15" fillId="4" borderId="115" xfId="0" applyFont="1" applyFill="1" applyBorder="1" applyAlignment="1" applyProtection="1">
      <alignment horizontal="center" vertical="center" wrapText="1"/>
      <protection hidden="1"/>
    </xf>
    <xf numFmtId="0" fontId="15" fillId="4" borderId="116" xfId="0" applyFont="1" applyFill="1" applyBorder="1" applyAlignment="1" applyProtection="1">
      <alignment horizontal="center" vertical="center" wrapText="1"/>
      <protection hidden="1"/>
    </xf>
  </cellXfs>
  <cellStyles count="14">
    <cellStyle name="Aop" xfId="1"/>
    <cellStyle name="Calculation" xfId="2" builtinId="22" customBuiltin="1"/>
    <cellStyle name="Good" xfId="3" builtinId="26"/>
    <cellStyle name="Grupa" xfId="4"/>
    <cellStyle name="Hyperlink" xfId="5" builtinId="8"/>
    <cellStyle name="Input" xfId="6" builtinId="20"/>
    <cellStyle name="Normal" xfId="0" builtinId="0" customBuiltin="1"/>
    <cellStyle name="Normal_Finansijski izvestaji RS (1)" xfId="7"/>
    <cellStyle name="UnosBroj" xfId="8"/>
    <cellStyle name="UnosPodataka" xfId="9"/>
    <cellStyle name="UnosTekst" xfId="10"/>
    <cellStyle name="Zaglavlje" xfId="11"/>
    <cellStyle name="ZiroRacun" xfId="12"/>
    <cellStyle name="ZiroRacunUnos" xfId="13"/>
  </cellStyles>
  <dxfs count="218">
    <dxf>
      <alignment horizontal="center" vertical="center" textRotation="0" wrapText="1" indent="0" relativeIndent="0" justifyLastLine="0" shrinkToFit="0" mergeCell="0" readingOrder="0"/>
      <protection locked="1" hidden="1"/>
    </dxf>
    <dxf>
      <alignment horizontal="right" vertical="bottom" textRotation="0" wrapText="0" indent="0" relativeIndent="255" justifyLastLine="0" shrinkToFit="0" mergeCell="0" readingOrder="0"/>
      <protection locked="1" hidden="1"/>
    </dxf>
    <dxf>
      <numFmt numFmtId="0" formatCode="General"/>
      <alignment horizontal="left" vertical="center" textRotation="0" wrapText="0" indent="0" relativeIndent="0" justifyLastLine="0" shrinkToFit="0" mergeCell="0" readingOrder="0"/>
      <protection locked="1" hidden="1"/>
    </dxf>
    <dxf>
      <numFmt numFmtId="0" formatCode="General"/>
      <alignment horizontal="right" vertical="bottom" textRotation="0" wrapText="0" indent="0" relativeIndent="255"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0" formatCode="General"/>
      <alignment horizontal="right" vertical="bottom" textRotation="0" wrapText="0" indent="0" relativeIndent="0" justifyLastLine="0" shrinkToFit="0" mergeCell="0" readingOrder="0"/>
      <protection locked="1" hidden="1"/>
    </dxf>
    <dxf>
      <numFmt numFmtId="164" formatCode="000"/>
      <protection locked="1" hidden="1"/>
    </dxf>
    <dxf>
      <numFmt numFmtId="0" formatCode="General"/>
      <alignment horizontal="center" vertical="center" textRotation="0" wrapText="0" indent="0" relativeIndent="0" justifyLastLine="0" shrinkToFit="0" mergeCell="0" readingOrder="0"/>
      <protection locked="1" hidden="1"/>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fgColor indexed="64"/>
          <bgColor indexed="65"/>
        </patternFill>
      </fill>
      <alignment horizontal="left" vertical="center" textRotation="0" wrapText="0" indent="0" relativeIndent="0" justifyLastLine="0" shrinkToFit="0" mergeCell="0" readingOrder="0"/>
      <border diagonalUp="0" diagonalDown="0" outline="0">
        <left style="thin">
          <color indexed="9"/>
        </left>
        <right style="thin">
          <color indexed="9"/>
        </right>
        <top/>
        <bottom/>
      </border>
    </dxf>
    <dxf>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indexed="9"/>
        </left>
        <right/>
        <top style="thin">
          <color indexed="9"/>
        </top>
        <bottom style="thin">
          <color indexed="9"/>
        </bottom>
      </border>
    </dxf>
    <dxf>
      <fill>
        <patternFill patternType="none">
          <fgColor indexed="64"/>
          <bgColor indexed="65"/>
        </patternFill>
      </fill>
      <border diagonalUp="0" diagonalDown="0">
        <left/>
        <right style="thin">
          <color indexed="9"/>
        </right>
        <top style="thin">
          <color indexed="9"/>
        </top>
        <bottom style="thin">
          <color indexed="9"/>
        </bottom>
      </border>
    </dxf>
    <dxf>
      <fill>
        <patternFill patternType="none">
          <fgColor indexed="64"/>
          <bgColor indexed="65"/>
        </patternFill>
      </fill>
      <border diagonalUp="0" diagonalDown="0" outline="0">
        <left style="thin">
          <color indexed="9"/>
        </left>
        <right style="thin">
          <color indexed="9"/>
        </right>
        <top/>
        <bottom/>
      </border>
    </dxf>
    <dxf>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numFmt numFmtId="19" formatCode="d/m/yyyy"/>
    </dxf>
    <dxf>
      <alignment horizontal="left" vertical="bottom" textRotation="0" wrapText="0" indent="0" relativeIndent="0" justifyLastLine="0" shrinkToFit="0" mergeCell="0" readingOrder="0"/>
      <protection locked="1" hidden="1"/>
    </dxf>
    <dxf>
      <protection locked="1" hidden="1"/>
    </dxf>
    <dxf>
      <numFmt numFmtId="0" formatCode="General"/>
    </dxf>
    <dxf>
      <numFmt numFmtId="0" formatCode="General"/>
    </dxf>
    <dxf>
      <numFmt numFmtId="19" formatCode="d/m/yyyy"/>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Calibri"/>
        <scheme val="none"/>
      </font>
      <alignment horizontal="left" vertical="center" textRotation="0" wrapText="1" indent="0" relativeIndent="0" justifyLastLine="0" shrinkToFit="0" mergeCell="0" readingOrder="0"/>
    </dxf>
    <dxf>
      <numFmt numFmtId="0" formatCode="General"/>
      <alignment horizontal="center" vertical="center" textRotation="0" wrapText="0" indent="0" relativeIndent="0" justifyLastLine="0" shrinkToFit="0" mergeCell="0" readingOrder="0"/>
    </dxf>
    <dxf>
      <numFmt numFmtId="0" formatCode="General"/>
      <alignment horizontal="center" vertical="center" textRotation="0" wrapText="0" indent="0" relativeIndent="0" justifyLastLine="0" shrinkToFit="0" mergeCell="0" readingOrder="0"/>
    </dxf>
    <dxf>
      <font>
        <b val="0"/>
        <i val="0"/>
        <strike val="0"/>
        <condense val="0"/>
        <extend val="0"/>
        <outline val="0"/>
        <shadow val="0"/>
        <u val="none"/>
        <vertAlign val="baseline"/>
        <sz val="10"/>
        <color auto="1"/>
        <name val="Calibri"/>
        <scheme val="none"/>
      </font>
      <numFmt numFmtId="30" formatCode="@"/>
      <alignment horizontal="left" vertical="center" textRotation="0" wrapText="1" indent="0" relativeIndent="0" justifyLastLine="0" shrinkToFit="0" mergeCell="0" readingOrder="0"/>
    </dxf>
    <dxf>
      <font>
        <b val="0"/>
        <i val="0"/>
        <strike val="0"/>
        <condense val="0"/>
        <extend val="0"/>
        <outline val="0"/>
        <shadow val="0"/>
        <u val="none"/>
        <vertAlign val="baseline"/>
        <sz val="10"/>
        <color auto="1"/>
        <name val="Calibri"/>
        <scheme val="none"/>
      </font>
      <numFmt numFmtId="30" formatCode="@"/>
      <alignment horizontal="left" vertical="center" textRotation="0" wrapText="1" indent="0" relativeIndent="0" justifyLastLine="0" shrinkToFit="0" mergeCell="0" readingOrder="0"/>
    </dxf>
    <dxf>
      <font>
        <b val="0"/>
        <i val="0"/>
        <strike val="0"/>
        <condense val="0"/>
        <extend val="0"/>
        <outline val="0"/>
        <shadow val="0"/>
        <u val="none"/>
        <vertAlign val="baseline"/>
        <sz val="10"/>
        <color auto="1"/>
        <name val="Calibri"/>
        <scheme val="none"/>
      </font>
      <numFmt numFmtId="30" formatCode="@"/>
      <alignment horizontal="left" vertical="center" textRotation="0" wrapText="1" indent="0" relativeIndent="0" justifyLastLine="0" shrinkToFit="0" mergeCell="0" readingOrder="0"/>
    </dxf>
    <dxf>
      <font>
        <b val="0"/>
        <i val="0"/>
        <strike val="0"/>
        <condense val="0"/>
        <extend val="0"/>
        <outline val="0"/>
        <shadow val="0"/>
        <u val="none"/>
        <vertAlign val="baseline"/>
        <sz val="10"/>
        <color auto="1"/>
        <name val="Calibri"/>
        <scheme val="none"/>
      </font>
      <numFmt numFmtId="30" formatCode="@"/>
      <alignment horizontal="left" vertical="center" textRotation="0" wrapText="1" indent="0" relativeIndent="0" justifyLastLine="0" shrinkToFit="0" mergeCell="0" readingOrder="0"/>
    </dxf>
    <dxf>
      <font>
        <b val="0"/>
        <i val="0"/>
        <strike val="0"/>
        <condense val="0"/>
        <extend val="0"/>
        <outline val="0"/>
        <shadow val="0"/>
        <u val="none"/>
        <vertAlign val="baseline"/>
        <sz val="10"/>
        <color indexed="8"/>
        <name val="Times New Roman"/>
        <scheme val="none"/>
      </font>
      <alignment horizontal="left"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none"/>
      </font>
      <alignment horizontal="left"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none"/>
      </font>
      <alignment horizontal="left" vertical="center" textRotation="0" wrapText="0" indent="0" relativeIndent="0" justifyLastLine="0" shrinkToFit="0" mergeCell="0" readingOrder="0"/>
    </dxf>
    <dxf>
      <font>
        <b val="0"/>
        <i val="0"/>
        <strike val="0"/>
        <condense val="0"/>
        <extend val="0"/>
        <outline val="0"/>
        <shadow val="0"/>
        <u val="none"/>
        <vertAlign val="baseline"/>
        <sz val="10"/>
        <color auto="1"/>
        <name val="Calibri"/>
        <scheme val="none"/>
      </font>
      <alignment horizontal="left" vertical="center" textRotation="0" wrapText="0" indent="0" relativeIndent="0" justifyLastLine="0" shrinkToFit="0" mergeCell="0" readingOrder="0"/>
    </dxf>
    <dxf>
      <numFmt numFmtId="0" formatCode="General"/>
      <alignment horizontal="center" vertical="center" textRotation="0" wrapText="0" indent="0" relativeIndent="0" justifyLastLine="0" shrinkToFit="0" mergeCell="0" readingOrder="0"/>
    </dxf>
    <dxf>
      <numFmt numFmtId="0" formatCode="General"/>
    </dxf>
    <dxf>
      <numFmt numFmtId="0" formatCode="General"/>
    </dxf>
    <dxf>
      <numFmt numFmtId="0" formatCode="General"/>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vertical="center" textRotation="0" wrapText="0" indent="0" relativeIndent="0" justifyLastLine="0" shrinkToFit="0" mergeCell="0" readingOrder="0"/>
    </dxf>
    <dxf>
      <numFmt numFmtId="0" formatCode="General"/>
    </dxf>
    <dxf>
      <numFmt numFmtId="0" formatCode="General"/>
    </dxf>
    <dxf>
      <numFmt numFmtId="0" formatCode="General"/>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1281" name="Okvir Navigacija"/>
        <xdr:cNvGrpSpPr>
          <a:grpSpLocks/>
        </xdr:cNvGrpSpPr>
      </xdr:nvGrpSpPr>
      <xdr:grpSpPr bwMode="auto">
        <a:xfrm>
          <a:off x="381000" y="47625"/>
          <a:ext cx="10991850" cy="600075"/>
          <a:chOff x="7343770" y="3810026"/>
          <a:chExt cx="7258050" cy="590550"/>
        </a:xfrm>
      </xdr:grpSpPr>
      <xdr:sp macro="" textlink="Linkovi_Link_BS">
        <xdr:nvSpPr>
          <xdr:cNvPr id="14" name="Link BS">
            <a:hlinkClick xmlns:r="http://schemas.openxmlformats.org/officeDocument/2006/relationships" r:id="rId1" tooltip="01"/>
            <a:extLst>
              <a:ext uri="{FF2B5EF4-FFF2-40B4-BE49-F238E27FC236}"/>
            </a:extLst>
          </xdr:cNvPr>
          <xdr:cNvSpPr txBox="1"/>
        </xdr:nvSpPr>
        <xdr:spPr bwMode="auto">
          <a:xfrm>
            <a:off x="10230637" y="3913138"/>
            <a:ext cx="1044052"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39494089-543B-46A6-8B91-72A4FF632DCA}"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U">
        <xdr:nvSpPr>
          <xdr:cNvPr id="15" name="Link BU">
            <a:hlinkClick xmlns:r="http://schemas.openxmlformats.org/officeDocument/2006/relationships" r:id="rId2" tooltip="02a"/>
            <a:extLst>
              <a:ext uri="{FF2B5EF4-FFF2-40B4-BE49-F238E27FC236}"/>
            </a:extLst>
          </xdr:cNvPr>
          <xdr:cNvSpPr txBox="1"/>
        </xdr:nvSpPr>
        <xdr:spPr bwMode="auto">
          <a:xfrm>
            <a:off x="11337584" y="3913138"/>
            <a:ext cx="1320789"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9EA417E4-9886-475A-9173-5A218D2F1800}"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DGP">
        <xdr:nvSpPr>
          <xdr:cNvPr id="16" name="Link ODGP">
            <a:hlinkClick xmlns:r="http://schemas.openxmlformats.org/officeDocument/2006/relationships" r:id="rId3" tooltip="02b"/>
            <a:extLst>
              <a:ext uri="{FF2B5EF4-FFF2-40B4-BE49-F238E27FC236}"/>
            </a:extLst>
          </xdr:cNvPr>
          <xdr:cNvSpPr txBox="1"/>
        </xdr:nvSpPr>
        <xdr:spPr bwMode="auto">
          <a:xfrm>
            <a:off x="10438190" y="4147483"/>
            <a:ext cx="3383736"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2C5B32DB-6FEA-4C92-A527-758B1F58ACEC}"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TG">
        <xdr:nvSpPr>
          <xdr:cNvPr id="17" name="Link BTG">
            <a:hlinkClick xmlns:r="http://schemas.openxmlformats.org/officeDocument/2006/relationships" r:id="rId4" tooltip="03"/>
            <a:extLst>
              <a:ext uri="{FF2B5EF4-FFF2-40B4-BE49-F238E27FC236}"/>
            </a:extLst>
          </xdr:cNvPr>
          <xdr:cNvSpPr txBox="1"/>
        </xdr:nvSpPr>
        <xdr:spPr bwMode="auto">
          <a:xfrm>
            <a:off x="12721268" y="3913138"/>
            <a:ext cx="1616394"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145462EB-FF83-4864-A8CA-DB8881D4D229}"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Aneks">
        <xdr:nvSpPr>
          <xdr:cNvPr id="18" name="Link Aneks">
            <a:hlinkClick xmlns:r="http://schemas.openxmlformats.org/officeDocument/2006/relationships" r:id="rId5" tooltip="04"/>
            <a:extLst>
              <a:ext uri="{FF2B5EF4-FFF2-40B4-BE49-F238E27FC236}"/>
            </a:extLst>
          </xdr:cNvPr>
          <xdr:cNvSpPr txBox="1"/>
        </xdr:nvSpPr>
        <xdr:spPr bwMode="auto">
          <a:xfrm>
            <a:off x="7425533" y="4147483"/>
            <a:ext cx="635237"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098BBD28-E307-48B7-A925-456F1F8D844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PK">
        <xdr:nvSpPr>
          <xdr:cNvPr id="19" name="Link BPK">
            <a:hlinkClick xmlns:r="http://schemas.openxmlformats.org/officeDocument/2006/relationships" r:id="rId6" tooltip="05"/>
            <a:extLst>
              <a:ext uri="{FF2B5EF4-FFF2-40B4-BE49-F238E27FC236}"/>
            </a:extLst>
          </xdr:cNvPr>
          <xdr:cNvSpPr txBox="1"/>
        </xdr:nvSpPr>
        <xdr:spPr bwMode="auto">
          <a:xfrm>
            <a:off x="8142533" y="4147483"/>
            <a:ext cx="2207604"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4F8050F3-6752-4EA9-826E-A0577A3441BF}"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snovni_podaci">
        <xdr:nvSpPr>
          <xdr:cNvPr id="20" name="Link Osnovni podaci">
            <a:hlinkClick xmlns:r="http://schemas.openxmlformats.org/officeDocument/2006/relationships" r:id="rId7" tooltip="Osnovni podaci"/>
            <a:extLst>
              <a:ext uri="{FF2B5EF4-FFF2-40B4-BE49-F238E27FC236}"/>
            </a:extLst>
          </xdr:cNvPr>
          <xdr:cNvSpPr txBox="1"/>
        </xdr:nvSpPr>
        <xdr:spPr bwMode="auto">
          <a:xfrm>
            <a:off x="9048217" y="3913138"/>
            <a:ext cx="1113236"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9D5E77F2-A395-484B-AA17-DCBF5F8467A0}"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Uputstvo">
        <xdr:nvSpPr>
          <xdr:cNvPr id="21" name="Link Uputstvo">
            <a:hlinkClick xmlns:r="http://schemas.openxmlformats.org/officeDocument/2006/relationships" r:id="rId8" tooltip="Uputstvo za popunjavanje"/>
            <a:extLst>
              <a:ext uri="{FF2B5EF4-FFF2-40B4-BE49-F238E27FC236}"/>
            </a:extLst>
          </xdr:cNvPr>
          <xdr:cNvSpPr txBox="1"/>
        </xdr:nvSpPr>
        <xdr:spPr bwMode="auto">
          <a:xfrm>
            <a:off x="7425533" y="3913138"/>
            <a:ext cx="1553499" cy="1781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2F4876CB-072B-41DE-9B11-8864259EA82A}"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0</xdr:row>
      <xdr:rowOff>0</xdr:rowOff>
    </xdr:from>
    <xdr:to>
      <xdr:col>27</xdr:col>
      <xdr:colOff>1600200</xdr:colOff>
      <xdr:row>3</xdr:row>
      <xdr:rowOff>38100</xdr:rowOff>
    </xdr:to>
    <xdr:grpSp>
      <xdr:nvGrpSpPr>
        <xdr:cNvPr id="9231" name="Group 9"/>
        <xdr:cNvGrpSpPr>
          <a:grpSpLocks/>
        </xdr:cNvGrpSpPr>
      </xdr:nvGrpSpPr>
      <xdr:grpSpPr bwMode="auto">
        <a:xfrm>
          <a:off x="361950" y="0"/>
          <a:ext cx="9525000" cy="819150"/>
          <a:chOff x="365167" y="0"/>
          <a:chExt cx="9521783" cy="819511"/>
        </a:xfrm>
      </xdr:grpSpPr>
      <xdr:sp macro="" textlink="Linkovi_Link_BS">
        <xdr:nvSpPr>
          <xdr:cNvPr id="88" name="Link BS">
            <a:hlinkClick xmlns:r="http://schemas.openxmlformats.org/officeDocument/2006/relationships" r:id="rId1" tooltip="01"/>
            <a:extLst>
              <a:ext uri="{FF2B5EF4-FFF2-40B4-BE49-F238E27FC236}"/>
            </a:extLst>
          </xdr:cNvPr>
          <xdr:cNvSpPr txBox="1"/>
        </xdr:nvSpPr>
        <xdr:spPr bwMode="auto">
          <a:xfrm>
            <a:off x="3869183" y="133409"/>
            <a:ext cx="1513963" cy="2477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30733C1F-121F-47C0-9108-3A54B66B1489}"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U">
        <xdr:nvSpPr>
          <xdr:cNvPr id="89" name="Link BU">
            <a:hlinkClick xmlns:r="http://schemas.openxmlformats.org/officeDocument/2006/relationships" r:id="rId2" tooltip="02a"/>
            <a:extLst>
              <a:ext uri="{FF2B5EF4-FFF2-40B4-BE49-F238E27FC236}"/>
            </a:extLst>
          </xdr:cNvPr>
          <xdr:cNvSpPr txBox="1"/>
        </xdr:nvSpPr>
        <xdr:spPr bwMode="auto">
          <a:xfrm>
            <a:off x="5411712" y="123880"/>
            <a:ext cx="1942444" cy="2477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C68AD177-660C-43F0-A62A-DAFCE4C63C48}"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DGP">
        <xdr:nvSpPr>
          <xdr:cNvPr id="90" name="Link ODGP">
            <a:hlinkClick xmlns:r="http://schemas.openxmlformats.org/officeDocument/2006/relationships" r:id="rId3" tooltip="02b"/>
            <a:extLst>
              <a:ext uri="{FF2B5EF4-FFF2-40B4-BE49-F238E27FC236}"/>
            </a:extLst>
          </xdr:cNvPr>
          <xdr:cNvSpPr txBox="1"/>
        </xdr:nvSpPr>
        <xdr:spPr bwMode="auto">
          <a:xfrm>
            <a:off x="5402190" y="409756"/>
            <a:ext cx="4360977" cy="26681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58E5DF78-101B-4194-823E-52DD4FCFD116}"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TG">
        <xdr:nvSpPr>
          <xdr:cNvPr id="91" name="Link BTG">
            <a:hlinkClick xmlns:r="http://schemas.openxmlformats.org/officeDocument/2006/relationships" r:id="rId4" tooltip="03"/>
            <a:extLst>
              <a:ext uri="{FF2B5EF4-FFF2-40B4-BE49-F238E27FC236}"/>
            </a:extLst>
          </xdr:cNvPr>
          <xdr:cNvSpPr txBox="1"/>
        </xdr:nvSpPr>
        <xdr:spPr bwMode="auto">
          <a:xfrm>
            <a:off x="7392243" y="123880"/>
            <a:ext cx="2389968" cy="2382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851414A0-7B52-4D4D-8138-7766BAA84B78}"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Aneks">
        <xdr:nvSpPr>
          <xdr:cNvPr id="92" name="Link Aneks">
            <a:hlinkClick xmlns:r="http://schemas.openxmlformats.org/officeDocument/2006/relationships" r:id="rId5" tooltip="04"/>
            <a:extLst>
              <a:ext uri="{FF2B5EF4-FFF2-40B4-BE49-F238E27FC236}"/>
            </a:extLst>
          </xdr:cNvPr>
          <xdr:cNvSpPr txBox="1"/>
        </xdr:nvSpPr>
        <xdr:spPr bwMode="auto">
          <a:xfrm>
            <a:off x="403254" y="419285"/>
            <a:ext cx="2028140" cy="2572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3D2519E3-4E76-4376-92BA-82039F2FEC7E}"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PK">
        <xdr:nvSpPr>
          <xdr:cNvPr id="93" name="Link BPK">
            <a:hlinkClick xmlns:r="http://schemas.openxmlformats.org/officeDocument/2006/relationships" r:id="rId6" tooltip="05"/>
            <a:extLst>
              <a:ext uri="{FF2B5EF4-FFF2-40B4-BE49-F238E27FC236}"/>
            </a:extLst>
          </xdr:cNvPr>
          <xdr:cNvSpPr txBox="1"/>
        </xdr:nvSpPr>
        <xdr:spPr bwMode="auto">
          <a:xfrm>
            <a:off x="2469481" y="409756"/>
            <a:ext cx="2932709" cy="27634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BDF0274E-19DC-47F8-AB49-13B69413F4B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snovni_podaci">
        <xdr:nvSpPr>
          <xdr:cNvPr id="94" name="Link Osnovni podaci">
            <a:hlinkClick xmlns:r="http://schemas.openxmlformats.org/officeDocument/2006/relationships" r:id="rId7" tooltip="Osnovni podaci"/>
            <a:extLst>
              <a:ext uri="{FF2B5EF4-FFF2-40B4-BE49-F238E27FC236}"/>
            </a:extLst>
          </xdr:cNvPr>
          <xdr:cNvSpPr txBox="1"/>
        </xdr:nvSpPr>
        <xdr:spPr bwMode="auto">
          <a:xfrm>
            <a:off x="2488525" y="133409"/>
            <a:ext cx="1361615" cy="2477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D881893E-83CB-4BCD-9313-C0F571C0DEC2}"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Uputstvo">
        <xdr:nvSpPr>
          <xdr:cNvPr id="95" name="Link Uputstvo">
            <a:hlinkClick xmlns:r="http://schemas.openxmlformats.org/officeDocument/2006/relationships" r:id="rId8" tooltip="Uputstvo za popunjavanje"/>
            <a:extLst>
              <a:ext uri="{FF2B5EF4-FFF2-40B4-BE49-F238E27FC236}"/>
            </a:extLst>
          </xdr:cNvPr>
          <xdr:cNvSpPr txBox="1"/>
        </xdr:nvSpPr>
        <xdr:spPr bwMode="auto">
          <a:xfrm>
            <a:off x="365167" y="123880"/>
            <a:ext cx="2085270" cy="25728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9E4FB224-6544-4D4B-BC62-513388772E2E}"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54F48077-7A0F-4F7E-92CF-6813D541087D}"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51F33007-730C-4D6D-BB7F-28FBEA20A080}"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C7C0E199-96D9-4945-8985-710FC10AFE8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1D04A2B6-A4AE-4254-A088-E747555D79CF}"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84550D98-516F-42AA-AC95-A91D47DC04E0}"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FF4802A4-06DF-473A-947A-6DB8D4CA19C2}"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7128D1A8-159B-4ABF-B98E-990C96ADDAD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D1AEE570-07CA-4934-908D-4CC0E51536F0}"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742949</xdr:colOff>
      <xdr:row>0</xdr:row>
      <xdr:rowOff>152400</xdr:rowOff>
    </xdr:from>
    <xdr:to>
      <xdr:col>6</xdr:col>
      <xdr:colOff>209550</xdr:colOff>
      <xdr:row>2</xdr:row>
      <xdr:rowOff>28575</xdr:rowOff>
    </xdr:to>
    <xdr:sp macro="" textlink="Linkovi_Link_BS">
      <xdr:nvSpPr>
        <xdr:cNvPr id="13" name="Link BS">
          <a:hlinkClick xmlns:r="http://schemas.openxmlformats.org/officeDocument/2006/relationships" r:id="rId1" tooltip="01"/>
          <a:extLst>
            <a:ext uri="{FF2B5EF4-FFF2-40B4-BE49-F238E27FC236}"/>
          </a:extLst>
        </xdr:cNvPr>
        <xdr:cNvSpPr txBox="1"/>
      </xdr:nvSpPr>
      <xdr:spPr bwMode="auto">
        <a:xfrm>
          <a:off x="3448049" y="152400"/>
          <a:ext cx="1733551" cy="2000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C47FC5B5-A295-4511-8994-191F4E793CD8}"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twoCellAnchor>
    <xdr:from>
      <xdr:col>6</xdr:col>
      <xdr:colOff>247649</xdr:colOff>
      <xdr:row>0</xdr:row>
      <xdr:rowOff>152400</xdr:rowOff>
    </xdr:from>
    <xdr:to>
      <xdr:col>7</xdr:col>
      <xdr:colOff>1142999</xdr:colOff>
      <xdr:row>2</xdr:row>
      <xdr:rowOff>19050</xdr:rowOff>
    </xdr:to>
    <xdr:sp macro="" textlink="Linkovi_Link_BU">
      <xdr:nvSpPr>
        <xdr:cNvPr id="22" name="Link BU">
          <a:hlinkClick xmlns:r="http://schemas.openxmlformats.org/officeDocument/2006/relationships" r:id="rId2" tooltip="02a"/>
          <a:extLst>
            <a:ext uri="{FF2B5EF4-FFF2-40B4-BE49-F238E27FC236}"/>
          </a:extLst>
        </xdr:cNvPr>
        <xdr:cNvSpPr txBox="1"/>
      </xdr:nvSpPr>
      <xdr:spPr bwMode="auto">
        <a:xfrm>
          <a:off x="5219699" y="152400"/>
          <a:ext cx="2028825"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C355E0FB-6C5C-4491-8092-EF36B01DCA87}"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twoCellAnchor>
    <xdr:from>
      <xdr:col>6</xdr:col>
      <xdr:colOff>257174</xdr:colOff>
      <xdr:row>2</xdr:row>
      <xdr:rowOff>26484</xdr:rowOff>
    </xdr:from>
    <xdr:to>
      <xdr:col>11</xdr:col>
      <xdr:colOff>304800</xdr:colOff>
      <xdr:row>3</xdr:row>
      <xdr:rowOff>85725</xdr:rowOff>
    </xdr:to>
    <xdr:sp macro="" textlink="Linkovi_Link_ODGP">
      <xdr:nvSpPr>
        <xdr:cNvPr id="23" name="Link ODGP">
          <a:hlinkClick xmlns:r="http://schemas.openxmlformats.org/officeDocument/2006/relationships" r:id="rId3" tooltip="02b"/>
          <a:extLst>
            <a:ext uri="{FF2B5EF4-FFF2-40B4-BE49-F238E27FC236}"/>
          </a:extLst>
        </xdr:cNvPr>
        <xdr:cNvSpPr txBox="1"/>
      </xdr:nvSpPr>
      <xdr:spPr bwMode="auto">
        <a:xfrm>
          <a:off x="5229224" y="350334"/>
          <a:ext cx="4572001" cy="22116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ECB4481F-A8C1-4260-A7FB-3A8B594EEC41}"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twoCellAnchor>
    <xdr:from>
      <xdr:col>8</xdr:col>
      <xdr:colOff>28575</xdr:colOff>
      <xdr:row>0</xdr:row>
      <xdr:rowOff>132084</xdr:rowOff>
    </xdr:from>
    <xdr:to>
      <xdr:col>11</xdr:col>
      <xdr:colOff>304800</xdr:colOff>
      <xdr:row>2</xdr:row>
      <xdr:rowOff>19050</xdr:rowOff>
    </xdr:to>
    <xdr:sp macro="" textlink="Linkovi_Link_BTG">
      <xdr:nvSpPr>
        <xdr:cNvPr id="24" name="Link BTG">
          <a:hlinkClick xmlns:r="http://schemas.openxmlformats.org/officeDocument/2006/relationships" r:id="rId4" tooltip="03"/>
          <a:extLst>
            <a:ext uri="{FF2B5EF4-FFF2-40B4-BE49-F238E27FC236}"/>
          </a:extLst>
        </xdr:cNvPr>
        <xdr:cNvSpPr txBox="1"/>
      </xdr:nvSpPr>
      <xdr:spPr bwMode="auto">
        <a:xfrm>
          <a:off x="7296150" y="132084"/>
          <a:ext cx="2505075" cy="21081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7D420E7A-131A-4E70-A23E-CAE4E0DF3FA2}"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twoCellAnchor>
    <xdr:from>
      <xdr:col>2</xdr:col>
      <xdr:colOff>23409</xdr:colOff>
      <xdr:row>2</xdr:row>
      <xdr:rowOff>19050</xdr:rowOff>
    </xdr:from>
    <xdr:to>
      <xdr:col>3</xdr:col>
      <xdr:colOff>533400</xdr:colOff>
      <xdr:row>3</xdr:row>
      <xdr:rowOff>76200</xdr:rowOff>
    </xdr:to>
    <xdr:sp macro="" textlink="Linkovi_Link_Aneks">
      <xdr:nvSpPr>
        <xdr:cNvPr id="25" name="Link Aneks">
          <a:hlinkClick xmlns:r="http://schemas.openxmlformats.org/officeDocument/2006/relationships" r:id="rId5" tooltip="04"/>
          <a:extLst>
            <a:ext uri="{FF2B5EF4-FFF2-40B4-BE49-F238E27FC236}"/>
          </a:extLst>
        </xdr:cNvPr>
        <xdr:cNvSpPr txBox="1"/>
      </xdr:nvSpPr>
      <xdr:spPr bwMode="auto">
        <a:xfrm>
          <a:off x="337734" y="342900"/>
          <a:ext cx="1767291"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54B5C8B3-47A9-4EE8-9ED2-E595DDDD0F9B}"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twoCellAnchor>
    <xdr:from>
      <xdr:col>3</xdr:col>
      <xdr:colOff>581025</xdr:colOff>
      <xdr:row>2</xdr:row>
      <xdr:rowOff>28575</xdr:rowOff>
    </xdr:from>
    <xdr:to>
      <xdr:col>6</xdr:col>
      <xdr:colOff>219075</xdr:colOff>
      <xdr:row>3</xdr:row>
      <xdr:rowOff>85725</xdr:rowOff>
    </xdr:to>
    <xdr:sp macro="" textlink="Linkovi_Link_BPK">
      <xdr:nvSpPr>
        <xdr:cNvPr id="26" name="Link BPK">
          <a:hlinkClick xmlns:r="http://schemas.openxmlformats.org/officeDocument/2006/relationships" r:id="rId6" tooltip="05"/>
          <a:extLst>
            <a:ext uri="{FF2B5EF4-FFF2-40B4-BE49-F238E27FC236}"/>
          </a:extLst>
        </xdr:cNvPr>
        <xdr:cNvSpPr txBox="1"/>
      </xdr:nvSpPr>
      <xdr:spPr bwMode="auto">
        <a:xfrm>
          <a:off x="2152650" y="352425"/>
          <a:ext cx="3038475" cy="219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8A0DB966-162B-4D3F-977E-1ABE3569B0B5}"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twoCellAnchor>
    <xdr:from>
      <xdr:col>3</xdr:col>
      <xdr:colOff>542925</xdr:colOff>
      <xdr:row>0</xdr:row>
      <xdr:rowOff>142875</xdr:rowOff>
    </xdr:from>
    <xdr:to>
      <xdr:col>4</xdr:col>
      <xdr:colOff>723900</xdr:colOff>
      <xdr:row>2</xdr:row>
      <xdr:rowOff>28575</xdr:rowOff>
    </xdr:to>
    <xdr:sp macro="" textlink="Linkovi_Link_Osnovni_podaci">
      <xdr:nvSpPr>
        <xdr:cNvPr id="27" name="Link Osnovni podaci">
          <a:hlinkClick xmlns:r="http://schemas.openxmlformats.org/officeDocument/2006/relationships" r:id="rId7" tooltip="Osnovni podaci"/>
          <a:extLst>
            <a:ext uri="{FF2B5EF4-FFF2-40B4-BE49-F238E27FC236}"/>
          </a:extLst>
        </xdr:cNvPr>
        <xdr:cNvSpPr txBox="1"/>
      </xdr:nvSpPr>
      <xdr:spPr bwMode="auto">
        <a:xfrm>
          <a:off x="2114550" y="142875"/>
          <a:ext cx="1314450"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7F13FF9B-F5BD-4416-8383-70365F495604}"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twoCellAnchor>
    <xdr:from>
      <xdr:col>0</xdr:col>
      <xdr:colOff>314323</xdr:colOff>
      <xdr:row>0</xdr:row>
      <xdr:rowOff>142875</xdr:rowOff>
    </xdr:from>
    <xdr:to>
      <xdr:col>3</xdr:col>
      <xdr:colOff>495299</xdr:colOff>
      <xdr:row>2</xdr:row>
      <xdr:rowOff>28575</xdr:rowOff>
    </xdr:to>
    <xdr:sp macro="" textlink="Linkovi_Link_Uputstvo">
      <xdr:nvSpPr>
        <xdr:cNvPr id="28" name="Link Uputstvo">
          <a:hlinkClick xmlns:r="http://schemas.openxmlformats.org/officeDocument/2006/relationships" r:id="rId8" tooltip="Uputstvo za popunjavanje"/>
          <a:extLst>
            <a:ext uri="{FF2B5EF4-FFF2-40B4-BE49-F238E27FC236}"/>
          </a:extLst>
        </xdr:cNvPr>
        <xdr:cNvSpPr txBox="1"/>
      </xdr:nvSpPr>
      <xdr:spPr bwMode="auto">
        <a:xfrm>
          <a:off x="314323" y="142875"/>
          <a:ext cx="1752601" cy="209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535CB806-514B-4B7A-A057-9A95325B9BE6}"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8D4076AA-FB4E-4285-BCDE-1EE3F24150F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1F440E8C-59DD-4A7D-8757-B2C364B47EA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DDDDDFB9-86C0-4D2C-8C04-53DD6D96C5A1}"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7D859859-DA72-48B8-A0BE-3D98A0984840}"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045AD590-50A7-449A-B7A4-800ADF7BFF99}"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63EF97D3-1426-4224-A9D5-D18CC8ACAB4E}"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66605162-6E03-4AB1-8DE7-F96A0532841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277C2F6F-3FC0-497A-9EEF-DA5DBAC3E9F7}"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0</xdr:row>
      <xdr:rowOff>28575</xdr:rowOff>
    </xdr:from>
    <xdr:to>
      <xdr:col>11</xdr:col>
      <xdr:colOff>381000</xdr:colOff>
      <xdr:row>3</xdr:row>
      <xdr:rowOff>114300</xdr:rowOff>
    </xdr:to>
    <xdr:grpSp>
      <xdr:nvGrpSpPr>
        <xdr:cNvPr id="4107" name="Group 1"/>
        <xdr:cNvGrpSpPr>
          <a:grpSpLocks/>
        </xdr:cNvGrpSpPr>
      </xdr:nvGrpSpPr>
      <xdr:grpSpPr bwMode="auto">
        <a:xfrm>
          <a:off x="257175" y="28575"/>
          <a:ext cx="9553575" cy="571500"/>
          <a:chOff x="257174" y="28575"/>
          <a:chExt cx="8943975" cy="528271"/>
        </a:xfrm>
      </xdr:grpSpPr>
      <xdr:sp macro="" textlink="Linkovi_Link_BS">
        <xdr:nvSpPr>
          <xdr:cNvPr id="22" name="Link BS">
            <a:hlinkClick xmlns:r="http://schemas.openxmlformats.org/officeDocument/2006/relationships" r:id="rId1" tooltip="01"/>
            <a:extLst>
              <a:ext uri="{FF2B5EF4-FFF2-40B4-BE49-F238E27FC236}"/>
            </a:extLst>
          </xdr:cNvPr>
          <xdr:cNvSpPr txBox="1"/>
        </xdr:nvSpPr>
        <xdr:spPr bwMode="auto">
          <a:xfrm>
            <a:off x="3725974" y="143034"/>
            <a:ext cx="1542680" cy="1584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F837FD94-D61B-4C49-AB3E-C584D7588DAC}"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U">
        <xdr:nvSpPr>
          <xdr:cNvPr id="23" name="Link BU">
            <a:hlinkClick xmlns:r="http://schemas.openxmlformats.org/officeDocument/2006/relationships" r:id="rId2" tooltip="02a"/>
            <a:extLst>
              <a:ext uri="{FF2B5EF4-FFF2-40B4-BE49-F238E27FC236}"/>
            </a:extLst>
          </xdr:cNvPr>
          <xdr:cNvSpPr txBox="1"/>
        </xdr:nvSpPr>
        <xdr:spPr bwMode="auto">
          <a:xfrm>
            <a:off x="5286488" y="134229"/>
            <a:ext cx="2024210" cy="1672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B839C597-82A1-416F-A45F-74EFBAD33171}"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DGP">
        <xdr:nvSpPr>
          <xdr:cNvPr id="24" name="Link ODGP">
            <a:hlinkClick xmlns:r="http://schemas.openxmlformats.org/officeDocument/2006/relationships" r:id="rId3" tooltip="02b"/>
            <a:extLst>
              <a:ext uri="{FF2B5EF4-FFF2-40B4-BE49-F238E27FC236}"/>
            </a:extLst>
          </xdr:cNvPr>
          <xdr:cNvSpPr txBox="1"/>
        </xdr:nvSpPr>
        <xdr:spPr bwMode="auto">
          <a:xfrm>
            <a:off x="5304322" y="327929"/>
            <a:ext cx="3852240" cy="14087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F40C3D8F-9774-4353-A49E-1AD0601F2206}"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TG">
        <xdr:nvSpPr>
          <xdr:cNvPr id="25" name="Link BTG">
            <a:hlinkClick xmlns:r="http://schemas.openxmlformats.org/officeDocument/2006/relationships" r:id="rId4" tooltip="03"/>
            <a:extLst>
              <a:ext uri="{FF2B5EF4-FFF2-40B4-BE49-F238E27FC236}"/>
            </a:extLst>
          </xdr:cNvPr>
          <xdr:cNvSpPr txBox="1"/>
        </xdr:nvSpPr>
        <xdr:spPr bwMode="auto">
          <a:xfrm>
            <a:off x="7364201" y="125425"/>
            <a:ext cx="1792362" cy="1584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4464C35E-DC45-42BD-87F0-1D398315FA13}"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Aneks">
        <xdr:nvSpPr>
          <xdr:cNvPr id="26" name="Link Aneks">
            <a:hlinkClick xmlns:r="http://schemas.openxmlformats.org/officeDocument/2006/relationships" r:id="rId5" tooltip="04"/>
            <a:extLst>
              <a:ext uri="{FF2B5EF4-FFF2-40B4-BE49-F238E27FC236}"/>
            </a:extLst>
          </xdr:cNvPr>
          <xdr:cNvSpPr txBox="1"/>
        </xdr:nvSpPr>
        <xdr:spPr bwMode="auto">
          <a:xfrm>
            <a:off x="337429" y="336733"/>
            <a:ext cx="1935037" cy="1584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6E194464-AC24-4215-A9F5-445985ED67EB}"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PK">
        <xdr:nvSpPr>
          <xdr:cNvPr id="27" name="Link BPK">
            <a:hlinkClick xmlns:r="http://schemas.openxmlformats.org/officeDocument/2006/relationships" r:id="rId6" tooltip="05"/>
            <a:extLst>
              <a:ext uri="{FF2B5EF4-FFF2-40B4-BE49-F238E27FC236}"/>
            </a:extLst>
          </xdr:cNvPr>
          <xdr:cNvSpPr txBox="1"/>
        </xdr:nvSpPr>
        <xdr:spPr bwMode="auto">
          <a:xfrm>
            <a:off x="2317053" y="327929"/>
            <a:ext cx="2951601" cy="1584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4911ED54-A0D7-40A8-B1BC-3D69A5706171}"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snovni_podaci">
        <xdr:nvSpPr>
          <xdr:cNvPr id="28" name="Link Osnovni podaci">
            <a:hlinkClick xmlns:r="http://schemas.openxmlformats.org/officeDocument/2006/relationships" r:id="rId7" tooltip="Osnovni podaci"/>
            <a:extLst>
              <a:ext uri="{FF2B5EF4-FFF2-40B4-BE49-F238E27FC236}"/>
            </a:extLst>
          </xdr:cNvPr>
          <xdr:cNvSpPr txBox="1"/>
        </xdr:nvSpPr>
        <xdr:spPr bwMode="auto">
          <a:xfrm>
            <a:off x="2317053" y="134229"/>
            <a:ext cx="1355418" cy="1672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230D8246-290B-4E75-9BE2-A67ED0785CBC}"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Uputstvo">
        <xdr:nvSpPr>
          <xdr:cNvPr id="29" name="Link Uputstvo">
            <a:hlinkClick xmlns:r="http://schemas.openxmlformats.org/officeDocument/2006/relationships" r:id="rId8" tooltip="Uputstvo za popunjavanje"/>
            <a:extLst>
              <a:ext uri="{FF2B5EF4-FFF2-40B4-BE49-F238E27FC236}"/>
            </a:extLst>
          </xdr:cNvPr>
          <xdr:cNvSpPr txBox="1"/>
        </xdr:nvSpPr>
        <xdr:spPr bwMode="auto">
          <a:xfrm>
            <a:off x="337429" y="125425"/>
            <a:ext cx="1917203" cy="1584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F58A9C74-527A-4B12-8739-FB14CB312D6D}"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4</xdr:col>
      <xdr:colOff>723900</xdr:colOff>
      <xdr:row>1</xdr:row>
      <xdr:rowOff>0</xdr:rowOff>
    </xdr:from>
    <xdr:to>
      <xdr:col>6</xdr:col>
      <xdr:colOff>47625</xdr:colOff>
      <xdr:row>1</xdr:row>
      <xdr:rowOff>152400</xdr:rowOff>
    </xdr:to>
    <xdr:sp macro="" textlink="Linkovi_Link_BS">
      <xdr:nvSpPr>
        <xdr:cNvPr id="14" name="Link BS">
          <a:hlinkClick xmlns:r="http://schemas.openxmlformats.org/officeDocument/2006/relationships" r:id="rId1" tooltip="01"/>
          <a:extLst>
            <a:ext uri="{FF2B5EF4-FFF2-40B4-BE49-F238E27FC236}"/>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476138AC-CDC5-4A93-A5B3-E7D4414C3CDF}"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6</xdr:col>
      <xdr:colOff>76199</xdr:colOff>
      <xdr:row>0</xdr:row>
      <xdr:rowOff>143013</xdr:rowOff>
    </xdr:from>
    <xdr:to>
      <xdr:col>7</xdr:col>
      <xdr:colOff>895349</xdr:colOff>
      <xdr:row>2</xdr:row>
      <xdr:rowOff>1</xdr:rowOff>
    </xdr:to>
    <xdr:sp macro="" textlink="Linkovi_Link_BU">
      <xdr:nvSpPr>
        <xdr:cNvPr id="15" name="Link BU">
          <a:hlinkClick xmlns:r="http://schemas.openxmlformats.org/officeDocument/2006/relationships" r:id="rId2" tooltip="02a"/>
          <a:extLst>
            <a:ext uri="{FF2B5EF4-FFF2-40B4-BE49-F238E27FC236}"/>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8E95338A-B2A4-45D9-B639-6042939BD831}"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6</xdr:col>
      <xdr:colOff>76205</xdr:colOff>
      <xdr:row>2</xdr:row>
      <xdr:rowOff>47763</xdr:rowOff>
    </xdr:from>
    <xdr:to>
      <xdr:col>9</xdr:col>
      <xdr:colOff>400051</xdr:colOff>
      <xdr:row>3</xdr:row>
      <xdr:rowOff>47625</xdr:rowOff>
    </xdr:to>
    <xdr:sp macro="" textlink="Linkovi_Link_ODGP">
      <xdr:nvSpPr>
        <xdr:cNvPr id="16" name="Link ODGP">
          <a:hlinkClick xmlns:r="http://schemas.openxmlformats.org/officeDocument/2006/relationships" r:id="rId3" tooltip="02b"/>
          <a:extLst>
            <a:ext uri="{FF2B5EF4-FFF2-40B4-BE49-F238E27FC236}"/>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F22349DC-2C44-4B8E-BDBF-0E5685B4E0B4}"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7</xdr:col>
      <xdr:colOff>923925</xdr:colOff>
      <xdr:row>0</xdr:row>
      <xdr:rowOff>143012</xdr:rowOff>
    </xdr:from>
    <xdr:to>
      <xdr:col>10</xdr:col>
      <xdr:colOff>800100</xdr:colOff>
      <xdr:row>2</xdr:row>
      <xdr:rowOff>0</xdr:rowOff>
    </xdr:to>
    <xdr:sp macro="" textlink="Linkovi_Link_BTG">
      <xdr:nvSpPr>
        <xdr:cNvPr id="17" name="Link BTG">
          <a:hlinkClick xmlns:r="http://schemas.openxmlformats.org/officeDocument/2006/relationships" r:id="rId4" tooltip="03"/>
          <a:extLst>
            <a:ext uri="{FF2B5EF4-FFF2-40B4-BE49-F238E27FC236}"/>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0906E7BD-8B2D-4143-BF31-8A170CFDB9E7}"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2</xdr:col>
      <xdr:colOff>152401</xdr:colOff>
      <xdr:row>2</xdr:row>
      <xdr:rowOff>47763</xdr:rowOff>
    </xdr:from>
    <xdr:to>
      <xdr:col>3</xdr:col>
      <xdr:colOff>561976</xdr:colOff>
      <xdr:row>3</xdr:row>
      <xdr:rowOff>47625</xdr:rowOff>
    </xdr:to>
    <xdr:sp macro="" textlink="Linkovi_Link_Aneks">
      <xdr:nvSpPr>
        <xdr:cNvPr id="18" name="Link Aneks">
          <a:hlinkClick xmlns:r="http://schemas.openxmlformats.org/officeDocument/2006/relationships" r:id="rId5" tooltip="04"/>
          <a:extLst>
            <a:ext uri="{FF2B5EF4-FFF2-40B4-BE49-F238E27FC236}"/>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B1CE44B1-1B56-4212-B4E4-42C5CB5DF381}"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3</xdr:col>
      <xdr:colOff>628650</xdr:colOff>
      <xdr:row>2</xdr:row>
      <xdr:rowOff>47626</xdr:rowOff>
    </xdr:from>
    <xdr:to>
      <xdr:col>6</xdr:col>
      <xdr:colOff>51456</xdr:colOff>
      <xdr:row>3</xdr:row>
      <xdr:rowOff>38100</xdr:rowOff>
    </xdr:to>
    <xdr:sp macro="" textlink="Linkovi_Link_BPK">
      <xdr:nvSpPr>
        <xdr:cNvPr id="19" name="Link BPK">
          <a:hlinkClick xmlns:r="http://schemas.openxmlformats.org/officeDocument/2006/relationships" r:id="rId6" tooltip="05"/>
          <a:extLst>
            <a:ext uri="{FF2B5EF4-FFF2-40B4-BE49-F238E27FC236}"/>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DFCF48DF-6A2D-4881-ADF3-02D66B09B488}"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3</xdr:col>
      <xdr:colOff>581025</xdr:colOff>
      <xdr:row>0</xdr:row>
      <xdr:rowOff>152538</xdr:rowOff>
    </xdr:from>
    <xdr:to>
      <xdr:col>4</xdr:col>
      <xdr:colOff>676275</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8CFC7ECB-32B0-4AC3-A463-760ED26DDACA}"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twoCellAnchor editAs="absolute">
    <xdr:from>
      <xdr:col>2</xdr:col>
      <xdr:colOff>142880</xdr:colOff>
      <xdr:row>0</xdr:row>
      <xdr:rowOff>143013</xdr:rowOff>
    </xdr:from>
    <xdr:to>
      <xdr:col>3</xdr:col>
      <xdr:colOff>552450</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5CCB9325-43D2-4D7F-8FC4-2E769BA88239}"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12</xdr:col>
      <xdr:colOff>561975</xdr:colOff>
      <xdr:row>3</xdr:row>
      <xdr:rowOff>152400</xdr:rowOff>
    </xdr:to>
    <xdr:grpSp>
      <xdr:nvGrpSpPr>
        <xdr:cNvPr id="6156" name="Okvir Navigacija"/>
        <xdr:cNvGrpSpPr>
          <a:grpSpLocks/>
        </xdr:cNvGrpSpPr>
      </xdr:nvGrpSpPr>
      <xdr:grpSpPr bwMode="auto">
        <a:xfrm>
          <a:off x="381000" y="47625"/>
          <a:ext cx="11706225" cy="590550"/>
          <a:chOff x="7343770" y="3809771"/>
          <a:chExt cx="7258050" cy="590549"/>
        </a:xfrm>
      </xdr:grpSpPr>
      <xdr:sp macro="" textlink="Linkovi_Link_BS">
        <xdr:nvSpPr>
          <xdr:cNvPr id="4" name="Link BS">
            <a:hlinkClick xmlns:r="http://schemas.openxmlformats.org/officeDocument/2006/relationships" r:id="rId1" tooltip="01"/>
            <a:extLst>
              <a:ext uri="{FF2B5EF4-FFF2-40B4-BE49-F238E27FC236}"/>
            </a:extLst>
          </xdr:cNvPr>
          <xdr:cNvSpPr txBox="1"/>
        </xdr:nvSpPr>
        <xdr:spPr bwMode="auto">
          <a:xfrm>
            <a:off x="10231635" y="3914546"/>
            <a:ext cx="1039395"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E2E7A404-7F80-4495-9C10-D44300DEBBEB}"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U">
        <xdr:nvSpPr>
          <xdr:cNvPr id="5" name="Link BU">
            <a:hlinkClick xmlns:r="http://schemas.openxmlformats.org/officeDocument/2006/relationships" r:id="rId2" tooltip="02a"/>
            <a:extLst>
              <a:ext uri="{FF2B5EF4-FFF2-40B4-BE49-F238E27FC236}"/>
            </a:extLst>
          </xdr:cNvPr>
          <xdr:cNvSpPr txBox="1"/>
        </xdr:nvSpPr>
        <xdr:spPr bwMode="auto">
          <a:xfrm>
            <a:off x="11341898" y="3914546"/>
            <a:ext cx="1311055"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50DD52C4-BE9D-4939-B23A-BC4340DF029E}"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DGP">
        <xdr:nvSpPr>
          <xdr:cNvPr id="6" name="Link ODGP">
            <a:hlinkClick xmlns:r="http://schemas.openxmlformats.org/officeDocument/2006/relationships" r:id="rId3" tooltip="02b"/>
            <a:extLst>
              <a:ext uri="{FF2B5EF4-FFF2-40B4-BE49-F238E27FC236}"/>
            </a:extLst>
          </xdr:cNvPr>
          <xdr:cNvSpPr txBox="1"/>
        </xdr:nvSpPr>
        <xdr:spPr bwMode="auto">
          <a:xfrm>
            <a:off x="11341898" y="4152670"/>
            <a:ext cx="2994167" cy="171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3DF1B9AC-DE8B-426F-8D4A-BFB5C33B9EBC}"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TG">
        <xdr:nvSpPr>
          <xdr:cNvPr id="7" name="Link BTG">
            <a:hlinkClick xmlns:r="http://schemas.openxmlformats.org/officeDocument/2006/relationships" r:id="rId4" tooltip="03"/>
            <a:extLst>
              <a:ext uri="{FF2B5EF4-FFF2-40B4-BE49-F238E27FC236}"/>
            </a:extLst>
          </xdr:cNvPr>
          <xdr:cNvSpPr txBox="1"/>
        </xdr:nvSpPr>
        <xdr:spPr bwMode="auto">
          <a:xfrm>
            <a:off x="12723822" y="3914546"/>
            <a:ext cx="1612244"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99286B09-819C-4E34-94AE-DE028B916F36}"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Aneks">
        <xdr:nvSpPr>
          <xdr:cNvPr id="8" name="Link Aneks">
            <a:hlinkClick xmlns:r="http://schemas.openxmlformats.org/officeDocument/2006/relationships" r:id="rId5" tooltip="04"/>
            <a:extLst>
              <a:ext uri="{FF2B5EF4-FFF2-40B4-BE49-F238E27FC236}"/>
            </a:extLst>
          </xdr:cNvPr>
          <xdr:cNvSpPr txBox="1"/>
        </xdr:nvSpPr>
        <xdr:spPr bwMode="auto">
          <a:xfrm>
            <a:off x="7426449" y="4143145"/>
            <a:ext cx="1570904"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D141B1FA-B583-4C94-A634-4A3022F9D665}"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BPK">
        <xdr:nvSpPr>
          <xdr:cNvPr id="9" name="Link BPK">
            <a:hlinkClick xmlns:r="http://schemas.openxmlformats.org/officeDocument/2006/relationships" r:id="rId6" tooltip="05"/>
            <a:extLst>
              <a:ext uri="{FF2B5EF4-FFF2-40B4-BE49-F238E27FC236}"/>
            </a:extLst>
          </xdr:cNvPr>
          <xdr:cNvSpPr txBox="1"/>
        </xdr:nvSpPr>
        <xdr:spPr bwMode="auto">
          <a:xfrm>
            <a:off x="9056410" y="4133620"/>
            <a:ext cx="223233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FFEEC824-F820-4C64-A4F3-714D22465D52}"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Osnovni_podaci">
        <xdr:nvSpPr>
          <xdr:cNvPr id="10" name="Link Osnovni podaci">
            <a:hlinkClick xmlns:r="http://schemas.openxmlformats.org/officeDocument/2006/relationships" r:id="rId7" tooltip="Osnovni podaci"/>
            <a:extLst>
              <a:ext uri="{FF2B5EF4-FFF2-40B4-BE49-F238E27FC236}"/>
            </a:extLst>
          </xdr:cNvPr>
          <xdr:cNvSpPr txBox="1"/>
        </xdr:nvSpPr>
        <xdr:spPr bwMode="auto">
          <a:xfrm>
            <a:off x="9044599" y="3914546"/>
            <a:ext cx="1122074"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A5F09717-A874-4248-9375-CFB43F810791}"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sp macro="" textlink="Linkovi_Link_Uputstvo">
        <xdr:nvSpPr>
          <xdr:cNvPr id="11" name="Link Uputstvo">
            <a:hlinkClick xmlns:r="http://schemas.openxmlformats.org/officeDocument/2006/relationships" r:id="rId8" tooltip="Uputstvo za popunjavanje"/>
            <a:extLst>
              <a:ext uri="{FF2B5EF4-FFF2-40B4-BE49-F238E27FC236}"/>
            </a:extLst>
          </xdr:cNvPr>
          <xdr:cNvSpPr txBox="1"/>
        </xdr:nvSpPr>
        <xdr:spPr bwMode="auto">
          <a:xfrm>
            <a:off x="7426449" y="3914546"/>
            <a:ext cx="155318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rtl="0">
              <a:defRPr sz="1000"/>
            </a:pPr>
            <a:fld id="{AFC0AFB6-34E6-4823-8A68-6A6B2B267E9B}" type="TxLink">
              <a:rPr lang="sr-Latn-BA" sz="1050" b="0" i="0" u="none" strike="noStrike" baseline="0">
                <a:solidFill>
                  <a:srgbClr val="000000"/>
                </a:solidFill>
                <a:latin typeface="Calibri"/>
              </a:rPr>
              <a:t></a:t>
            </a:fld>
            <a:endParaRPr lang="sr-Latn-BA" sz="1050" b="0" i="0" u="none" strike="noStrike" baseline="0">
              <a:solidFill>
                <a:srgbClr val="000000"/>
              </a:solidFill>
              <a:latin typeface="Calibri"/>
            </a:endParaRP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2</xdr:row>
      <xdr:rowOff>57150</xdr:rowOff>
    </xdr:from>
    <xdr:to>
      <xdr:col>21</xdr:col>
      <xdr:colOff>409575</xdr:colOff>
      <xdr:row>10</xdr:row>
      <xdr:rowOff>114300</xdr:rowOff>
    </xdr:to>
    <xdr:pic>
      <xdr:nvPicPr>
        <xdr:cNvPr id="8196" name="Picture 7"/>
        <xdr:cNvPicPr>
          <a:picLocks noChangeAspect="1"/>
        </xdr:cNvPicPr>
      </xdr:nvPicPr>
      <xdr:blipFill>
        <a:blip xmlns:r="http://schemas.openxmlformats.org/officeDocument/2006/relationships" r:embed="rId1" cstate="print"/>
        <a:srcRect/>
        <a:stretch>
          <a:fillRect/>
        </a:stretch>
      </xdr:blipFill>
      <xdr:spPr bwMode="auto">
        <a:xfrm>
          <a:off x="8086725" y="590550"/>
          <a:ext cx="4791075" cy="13525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_Prevod" displayName="T_Prevod" ref="A1:I102" totalsRowShown="0" headerRowDxfId="203" dataCellStyle="Normal">
  <autoFilter ref="A1:I102"/>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206" dataCellStyle="Normal">
      <calculatedColumnFormula>CHOOSE( ID_Jezik, C2, D2, E2,F2)</calculatedColumnFormula>
    </tableColumn>
    <tableColumn id="7" name="Kolona za pravljenje imena" dataDxfId="205" dataCellStyle="Normal">
      <calculatedColumnFormula>SUBSTITUTE(A2&amp;"_"&amp;B2," ","_")</calculatedColumnFormula>
    </tableColumn>
    <tableColumn id="8" name="Kontrola broj" dataDxfId="204" dataCellStyle="Normal">
      <calculatedColumnFormula>COUNTIF($B$2:$B$1028,"="&amp;B2)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6" totalsRowShown="0" dataDxfId="67">
  <autoFilter ref="A1:P456"/>
  <tableColumns count="16">
    <tableColumn id="1" name="Id" dataDxfId="82">
      <calculatedColumnFormula>ROW()-ROW($A$1)</calculatedColumnFormula>
    </tableColumn>
    <tableColumn id="10" name="Bilans"/>
    <tableColumn id="2" name="Aop nivo" dataDxfId="79"/>
    <tableColumn id="4" name="AOP" dataDxfId="81"/>
    <tableColumn id="14" name="Grupa Prikaz" dataDxfId="78">
      <calculatedColumnFormula>VLOOKUP( Aop!$A2, Aop!$A$2:$P$456, ID_Jezik +10, 1)</calculatedColumnFormula>
    </tableColumn>
    <tableColumn id="7" name="Pozicija Prikaz" dataDxfId="80">
      <calculatedColumnFormula>REPT( "  ", Aop!$C2) &amp; VLOOKUP( Aop!$A2, Aop!$A$2:$P$456, ID_Jezik + 6, 1)</calculatedColumnFormula>
    </tableColumn>
    <tableColumn id="5" name="Pozicija Srpski - latinica" dataDxfId="77">
      <calculatedColumnFormula>CONCATENATE("25. Stanje na dan ",Datum_Format," godine (916 ± 919 ± 920  - 921 - 922± 923 ± 924)")</calculatedColumnFormula>
    </tableColumn>
    <tableColumn id="9" name="Pozicija Srpski - cirilica" dataDxfId="76">
      <calculatedColumnFormula>CONCATENATE("25. Стање на дан ",Datum_Format," године (916 ± 919 ± 920  - 921 - 922± 923 ± 924)")</calculatedColumnFormula>
    </tableColumn>
    <tableColumn id="6" name="Pozicija Engleski" dataDxfId="75">
      <calculatedColumnFormula>CONCATENATE("25. Value on day ",  Podesavanja!$Y$3,"(916 ± 919 ± 920  - 921 - 922± 923 ± 924)")</calculatedColumnFormula>
    </tableColumn>
    <tableColumn id="3" name="Pozicija Руски" dataDxfId="74">
      <calculatedColumnFormula>CONCATENATE("25. Состояние на дату ",  ,Datum_Format," года (916 ± 919 ± 920  - 921 - 922± 923 ± 924)")</calculatedColumnFormula>
    </tableColumn>
    <tableColumn id="11" name="Grupa Sr - latinica" dataDxfId="73"/>
    <tableColumn id="12" name="Grupa Sr - cirilica" dataDxfId="72"/>
    <tableColumn id="13" name="Grupa En" dataDxfId="71"/>
    <tableColumn id="8" name="Grupa Rus" dataDxfId="70"/>
    <tableColumn id="16" name="Bold" dataDxfId="69"/>
    <tableColumn id="17" name="Visina reda" dataDxfId="68"/>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dataCellStyle="Normal">
  <autoFilter ref="H2:L6"/>
  <tableColumns count="5">
    <tableColumn id="1" name="Datum izvještaja" dataDxfId="62" dataCellStyle="Normal">
      <calculatedColumnFormula>DATE(Godina, K3, L3)</calculatedColumnFormula>
    </tableColumn>
    <tableColumn id="6" name="Vrsta_Id" dataCellStyle="Normal"/>
    <tableColumn id="5" name="Vrsta izvještaja" dataCellStyle="Normal">
      <calculatedColumnFormula>Vrsta_izvjestaja_Godisnji</calculatedColumnFormula>
    </tableColumn>
    <tableColumn id="2" name="Mjesec" dataDxfId="61" dataCellStyle="Normal"/>
    <tableColumn id="3" name="Dan" dataDxfId="60"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66">
      <calculatedColumnFormula array="1">MIN(IF(Aop!$B$2:$B$456=Podesavanja!$N3,Aop!$A$2:$A$456))</calculatedColumnFormula>
    </tableColumn>
    <tableColumn id="1" name="Max Id">
      <calculatedColumnFormula array="1">MAX(IF(Aop!$B$2:$B$456=Podesavanja!$N3,Aop!$A$2:$A$456))</calculatedColumnFormula>
    </tableColumn>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59"/>
    <tableColumn id="2" name="Opis" dataDxfId="58">
      <calculatedColumnFormula>IF( Revidiran_izvjestaj, Revizija_Uzdrzavanje, "")</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57">
      <calculatedColumnFormula>DATE( Godina + T3, U3, V3)</calculatedColumnFormula>
    </tableColumn>
    <tableColumn id="6" name="Datum format" dataDxfId="65">
      <calculatedColumnFormula>TEXT(W3, "dd.mm.yyyy.")</calculatedColumnFormula>
    </tableColumn>
    <tableColumn id="7" name="Datum format eng" dataDxfId="64">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28" totalsRowShown="0" headerRowCellStyle="Input">
  <autoFilter ref="AA2:AD28"/>
  <tableColumns count="4">
    <tableColumn id="4" name="LookupText" dataDxfId="63">
      <calculatedColumnFormula>CONCATENATE(Podesavanja!$AB3,Podesavanja!$AC3)</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44" totalsRowShown="0" headerRowDxfId="41" dataDxfId="42" dataCellStyle="Normal">
  <autoFilter ref="A1:N444"/>
  <tableColumns count="14">
    <tableColumn id="1" name="Id" dataDxfId="56" dataCellStyle="Normal"/>
    <tableColumn id="2" name="Bilans" dataDxfId="55" dataCellStyle="Normal">
      <calculatedColumnFormula>VLOOKUP( $A2, Aop!$A$2:$P$456, 2, 0)</calculatedColumnFormula>
    </tableColumn>
    <tableColumn id="5" name="Vrsta_izvjestaja" dataDxfId="54" dataCellStyle="Normal">
      <calculatedColumnFormula>ID_Izvjestaj</calculatedColumnFormula>
    </tableColumn>
    <tableColumn id="10" name="MB" dataDxfId="53" dataCellStyle="Normal">
      <calculatedColumnFormula>Podatak_MB</calculatedColumnFormula>
    </tableColumn>
    <tableColumn id="11" name="JIB" dataDxfId="52" dataCellStyle="Normal">
      <calculatedColumnFormula>Podatak_JIB</calculatedColumnFormula>
    </tableColumn>
    <tableColumn id="13" name="Konsolidovan" dataDxfId="51" dataCellStyle="Normal">
      <calculatedColumnFormula>Konsolidovan_izvjestaj</calculatedColumnFormula>
    </tableColumn>
    <tableColumn id="12" name="Datum" dataDxfId="50" dataCellStyle="Normal">
      <calculatedColumnFormula>Datum_Broj</calculatedColumnFormula>
    </tableColumn>
    <tableColumn id="3" name="AOP" dataDxfId="49" dataCellStyle="Normal">
      <calculatedColumnFormula>VLOOKUP( $A2, Aop!$A$2:$P$456, 4, 0)</calculatedColumnFormula>
    </tableColumn>
    <tableColumn id="4" name="Godina" dataDxfId="48" dataCellStyle="Normal">
      <calculatedColumnFormula>Godina</calculatedColumnFormula>
    </tableColumn>
    <tableColumn id="14" name="Napomena" dataDxfId="47"/>
    <tableColumn id="6" name="Bruto" dataDxfId="46" dataCellStyle="Normal"/>
    <tableColumn id="7" name="Ispravka" dataDxfId="45" dataCellStyle="Normal"/>
    <tableColumn id="8" name="Neto" dataDxfId="44" dataCellStyle="Normal">
      <calculatedColumnFormula>IF( VLOOKUP( $H2, INDIRECT( "Lookup_" &amp; $B2), IF( LEFT( $B2, 2) = "BS", S$2, S$1), 0) = "", "", VLOOKUP( $H2, INDIRECT( "Lookup_" &amp; $B2), IF( LEFT( $B2, 2) = "BS", S$2, S$1), 0))</calculatedColumnFormula>
    </tableColumn>
    <tableColumn id="9" name="NetoPr" dataDxfId="43" dataCellStyle="Normal">
      <calculatedColumnFormula>IF( VLOOKUP( $H2, INDIRECT( "Lookup_" &amp; $B2), IF( LEFT( $B2, 2) = "BS", T$2, T$1), 0) = "", "", VLOOKUP( $H2, INDIRECT( "Lookup_" &amp; $B2), IF( LEFT( $B2, 2) = "BS", T$2, T$1),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20" dataDxfId="21" dataCellStyle="Normal">
  <autoFilter ref="A1:S35"/>
  <tableColumns count="19">
    <tableColumn id="1" name="Id" dataDxfId="40" dataCellStyle="Normal"/>
    <tableColumn id="2" name="Bilans" dataDxfId="39" dataCellStyle="Normal">
      <calculatedColumnFormula>VLOOKUP( $A2, Aop!$A$2:$P$456, 2, 0)</calculatedColumnFormula>
    </tableColumn>
    <tableColumn id="10" name="MB" dataDxfId="38" dataCellStyle="Normal">
      <calculatedColumnFormula>Podatak_MB</calculatedColumnFormula>
    </tableColumn>
    <tableColumn id="11" name="JIB" dataDxfId="37" dataCellStyle="Normal">
      <calculatedColumnFormula>Podatak_JIB</calculatedColumnFormula>
    </tableColumn>
    <tableColumn id="17" name="Konsolidovan" dataDxfId="36" dataCellStyle="Normal">
      <calculatedColumnFormula>Konsolidovan_izvjestaj</calculatedColumnFormula>
    </tableColumn>
    <tableColumn id="3" name="AOP" dataDxfId="35" dataCellStyle="Normal">
      <calculatedColumnFormula>VLOOKUP( $A2, Aop!$A$2:$P$456, 4, 0)</calculatedColumnFormula>
    </tableColumn>
    <tableColumn id="4" name="Godina" dataDxfId="34" dataCellStyle="Normal">
      <calculatedColumnFormula>Godina</calculatedColumnFormula>
    </tableColumn>
    <tableColumn id="12" name="Datum" dataDxfId="33" dataCellStyle="Normal">
      <calculatedColumnFormula>Datum_Broj</calculatedColumnFormula>
    </tableColumn>
    <tableColumn id="5" name="Vrsta_izvjestaja" dataDxfId="32" dataCellStyle="Normal">
      <calculatedColumnFormula>ID_Izvjestaj</calculatedColumnFormula>
    </tableColumn>
    <tableColumn id="6" name="3" dataDxfId="31" dataCellStyle="Normal">
      <calculatedColumnFormula>IF(VLOOKUP($F2,INDIRECT("Lookup_"&amp;$B2),J$1-1,0)="","",VLOOKUP($F2,INDIRECT("Lookup_"&amp;$B2),J$1-1,0))</calculatedColumnFormula>
    </tableColumn>
    <tableColumn id="7" name="4" dataDxfId="30" dataCellStyle="Normal">
      <calculatedColumnFormula>IF(VLOOKUP($F2,INDIRECT("Lookup_"&amp;$B2),K$1-1,0)="","",VLOOKUP($F2,INDIRECT("Lookup_"&amp;$B2),K$1-1,0))</calculatedColumnFormula>
    </tableColumn>
    <tableColumn id="8" name="5" dataDxfId="29" dataCellStyle="Normal">
      <calculatedColumnFormula>IF(VLOOKUP($F2,INDIRECT("Lookup_"&amp;$B2),L$1-1,0)="","",VLOOKUP($F2,INDIRECT("Lookup_"&amp;$B2),L$1-1,0))</calculatedColumnFormula>
    </tableColumn>
    <tableColumn id="18" name="6" dataDxfId="28">
      <calculatedColumnFormula>IF(VLOOKUP($F2,INDIRECT("Lookup_"&amp;$B2),M$1-1,0)="","",VLOOKUP($F2,INDIRECT("Lookup_"&amp;$B2),M$1-1,0))</calculatedColumnFormula>
    </tableColumn>
    <tableColumn id="19" name="7" dataDxfId="27">
      <calculatedColumnFormula>IF(VLOOKUP($F2,INDIRECT("Lookup_"&amp;$B2),N$1-1,0)="","",VLOOKUP($F2,INDIRECT("Lookup_"&amp;$B2),N$1-1,0))</calculatedColumnFormula>
    </tableColumn>
    <tableColumn id="9" name="8" dataDxfId="26" dataCellStyle="Normal">
      <calculatedColumnFormula>IF(VLOOKUP($F2,INDIRECT("Lookup_"&amp;$B2),O$1-1,0)="","",VLOOKUP($F2,INDIRECT("Lookup_"&amp;$B2),O$1-1,0))</calculatedColumnFormula>
    </tableColumn>
    <tableColumn id="13" name="9" dataDxfId="25" dataCellStyle="Normal">
      <calculatedColumnFormula>IF(VLOOKUP($F2,INDIRECT("Lookup_"&amp;$B2),P$1-1,0)="","",VLOOKUP($F2,INDIRECT("Lookup_"&amp;$B2),P$1-1,0))</calculatedColumnFormula>
    </tableColumn>
    <tableColumn id="14" name="10" dataDxfId="24" dataCellStyle="Normal">
      <calculatedColumnFormula>IF(VLOOKUP($F2,INDIRECT("Lookup_"&amp;$B2),Q$1-1,0)="","",VLOOKUP($F2,INDIRECT("Lookup_"&amp;$B2),Q$1-1,0))</calculatedColumnFormula>
    </tableColumn>
    <tableColumn id="15" name="11" dataDxfId="23" dataCellStyle="Normal">
      <calculatedColumnFormula>IF(VLOOKUP($F2,INDIRECT("Lookup_"&amp;$B2),R$1-1,0)="","",VLOOKUP($F2,INDIRECT("Lookup_"&amp;$B2),R$1-1,0))</calculatedColumnFormula>
    </tableColumn>
    <tableColumn id="16" name="12" dataDxfId="22" dataCellStyle="Normal">
      <calculatedColumnFormula>IF(VLOOKUP($F2,INDIRECT("Lookup_"&amp;$B2),S$1-1,0)="","",VLOOKUP($F2,INDIRECT("Lookup_"&amp;$B2),S$1-1,0))</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O445" totalsRowShown="0" headerRowDxfId="0" dataDxfId="1">
  <tableColumns count="14">
    <tableColumn id="1" name="Id izvještaja" dataDxfId="15">
      <calculatedColumnFormula>VLOOKUP( APIF_Import!$O2, Podesavanja!$N$3:$Q$9, 4, 0)</calculatedColumnFormula>
    </tableColumn>
    <tableColumn id="11" name="AOP" dataDxfId="14">
      <calculatedColumnFormula>VLOOKUP( APIF_Import!$N2, Aop!$A$2:$P$456, 4, 0)</calculatedColumnFormula>
    </tableColumn>
    <tableColumn id="3" name="Kolona1" dataDxfId="13">
      <calculatedColumnFormula>IF( ISNA( VLOOKUP( APIF_Import!$O2 &amp; APIF_Import!$D$1,Podesavanja!$AA$3:$AD$28, 4, 0)), "", SUBSTITUTE( VALUE( VLOOKUP( APIF_Import!$C2, INDIRECT( "Lookup_" &amp; APIF_Import!$O2), VLOOKUP( APIF_Import!$O2 &amp; APIF_Import!$D$1,Podesavanja!$AA$3:$AD$28, 4, 0), 0)), ".", ","))</calculatedColumnFormula>
    </tableColumn>
    <tableColumn id="4" name="Kolona2" dataDxfId="12">
      <calculatedColumnFormula>IF( ISNA( VLOOKUP( APIF_Import!$O2 &amp; APIF_Import!$E$1,Podesavanja!$AA$3:$AD$28, 4, 0)), "", VLOOKUP( APIF_Import!$C2, INDIRECT( "Lookup_" &amp; APIF_Import!$O2), VLOOKUP( APIF_Import!$O2 &amp; APIF_Import!$E$1,Podesavanja!$AA$3:$AD$28, 4, 0), 0))</calculatedColumnFormula>
    </tableColumn>
    <tableColumn id="5" name="Kolona3" dataDxfId="11">
      <calculatedColumnFormula>IF( ISNA( VLOOKUP( APIF_Import!$O2 &amp; APIF_Import!$F$1,Podesavanja!$AA$3:$AD$28, 4, 0)), "", VLOOKUP( APIF_Import!$C2, INDIRECT( "Lookup_" &amp; APIF_Import!$O2), VLOOKUP( APIF_Import!$O2 &amp; APIF_Import!$F$1,Podesavanja!$AA$3:$AD$28, 4, 0), 0))</calculatedColumnFormula>
    </tableColumn>
    <tableColumn id="6" name="Kolona4" dataDxfId="10">
      <calculatedColumnFormula>IF( ISNA( VLOOKUP( APIF_Import!$O2 &amp; APIF_Import!$G$1,Podesavanja!$AA$3:$AD$28, 4, 0)), "", VLOOKUP( APIF_Import!$C2, INDIRECT( "Lookup_" &amp; APIF_Import!$O2), VLOOKUP( APIF_Import!$O2 &amp; APIF_Import!$G$1,Podesavanja!$AA$3:$AD$28, 4, 0), 0))</calculatedColumnFormula>
    </tableColumn>
    <tableColumn id="7" name="Kolona5" dataDxfId="9">
      <calculatedColumnFormula>IF( ISNA( VLOOKUP( APIF_Import!$O2 &amp; APIF_Import!$H$1,Podesavanja!$AA$3:$AD$28, 4, 0)), "", VLOOKUP( APIF_Import!$C2, INDIRECT( "Lookup_" &amp; APIF_Import!$O2), VLOOKUP( APIF_Import!$O2 &amp; APIF_Import!$H$1,Podesavanja!$AA$3:$AD$28, 4, 0), 0))</calculatedColumnFormula>
    </tableColumn>
    <tableColumn id="8" name="Kolona6" dataDxfId="8">
      <calculatedColumnFormula>IF( ISNA( VLOOKUP( APIF_Import!$O2 &amp; APIF_Import!$I$1,Podesavanja!$AA$3:$AD$28, 4, 0)), "", VLOOKUP( APIF_Import!$C2, INDIRECT( "Lookup_" &amp; APIF_Import!$O2), VLOOKUP( APIF_Import!$O2 &amp; APIF_Import!$I$1,Podesavanja!$AA$3:$AD$28, 4, 0), 0))</calculatedColumnFormula>
    </tableColumn>
    <tableColumn id="9" name="Kolona7" dataDxfId="7">
      <calculatedColumnFormula>IF( ISNA( VLOOKUP( APIF_Import!$O2 &amp; APIF_Import!$J$1,Podesavanja!$AA$3:$AD$28, 4, 0)), "", VLOOKUP( APIF_Import!$C2, INDIRECT( "Lookup_" &amp; APIF_Import!$O2), VLOOKUP( APIF_Import!$O2 &amp; APIF_Import!$J$1,Podesavanja!$AA$3:$AD$28, 4, 0), 0))</calculatedColumnFormula>
    </tableColumn>
    <tableColumn id="10" name="Kolona8" dataDxfId="6">
      <calculatedColumnFormula>IF( ISNA( VLOOKUP( APIF_Import!$O2 &amp; APIF_Import!$K$1,Podesavanja!$AA$3:$AD$28, 4, 0)), "", VLOOKUP( APIF_Import!$C2, INDIRECT( "Lookup_" &amp; APIF_Import!$O2), VLOOKUP( APIF_Import!$O2 &amp; APIF_Import!$K$1,Podesavanja!$AA$3:$AD$28, 4, 0), 0))</calculatedColumnFormula>
    </tableColumn>
    <tableColumn id="13" name="Kolona9" dataDxfId="5">
      <calculatedColumnFormula>IF( ISNA( VLOOKUP( APIF_Import!$O2 &amp; APIF_Import!$L$1,Podesavanja!$AA$3:$AD$28, 4, 0)), "", VLOOKUP( APIF_Import!$C2, INDIRECT( "Lookup_" &amp; APIF_Import!$O2), VLOOKUP( APIF_Import!$O2 &amp; APIF_Import!$L$1,Podesavanja!$AA$3:$AD$28, 4, 0), 0))</calculatedColumnFormula>
    </tableColumn>
    <tableColumn id="12" name="Kolona10" dataDxfId="4">
      <calculatedColumnFormula>IF( ISNA( VLOOKUP( APIF_Import!$O2 &amp; APIF_Import!$M$1,Podesavanja!$AA$3:$AD$28, 4, 0)), "", VLOOKUP( APIF_Import!$C2, INDIRECT( "Lookup_" &amp; APIF_Import!$O2), VLOOKUP( APIF_Import!$O2 &amp; APIF_Import!$M$1,Podesavanja!$AA$3:$AD$28, 4, 0), 0))</calculatedColumnFormula>
    </tableColumn>
    <tableColumn id="2" name="ld" dataDxfId="3"/>
    <tableColumn id="14" name="Bilans"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sheetPr codeName="Sheet00a">
    <tabColor rgb="FFB2B2B2"/>
    <pageSetUpPr fitToPage="1"/>
  </sheetPr>
  <dimension ref="A1:U60"/>
  <sheetViews>
    <sheetView showGridLines="0" showRowColHeaders="0" zoomScaleNormal="100" zoomScaleSheetLayoutView="85" workbookViewId="0">
      <pane ySplit="4" topLeftCell="A17" activePane="bottomLeft" state="frozen"/>
      <selection activeCell="A5" sqref="A5"/>
      <selection pane="bottomLeft" activeCell="K56" sqref="K56"/>
    </sheetView>
  </sheetViews>
  <sheetFormatPr defaultColWidth="0" defaultRowHeight="12.75" zeroHeight="1"/>
  <cols>
    <col min="1" max="1" width="5.7109375" style="8" customWidth="1"/>
    <col min="2" max="4" width="10.42578125" style="8" customWidth="1"/>
    <col min="5" max="17" width="9.42578125" style="8" customWidth="1"/>
    <col min="18" max="22" width="9.140625" style="8" customWidth="1"/>
    <col min="23" max="16384" width="0" style="8" hidden="1"/>
  </cols>
  <sheetData>
    <row r="1" spans="2:21">
      <c r="B1" s="18"/>
      <c r="C1" s="18"/>
      <c r="D1" s="18"/>
      <c r="E1" s="18"/>
      <c r="F1" s="18"/>
      <c r="G1" s="18"/>
      <c r="H1" s="18"/>
      <c r="I1" s="18"/>
      <c r="J1" s="18"/>
      <c r="K1" s="18"/>
      <c r="L1" s="18"/>
      <c r="M1" s="18"/>
      <c r="N1" s="18"/>
      <c r="O1" s="18"/>
      <c r="P1" s="18"/>
      <c r="Q1" s="18"/>
    </row>
    <row r="2" spans="2:21">
      <c r="B2" s="18"/>
      <c r="C2" s="18"/>
      <c r="D2" s="18"/>
      <c r="E2" s="18"/>
      <c r="F2" s="18"/>
      <c r="G2" s="18"/>
      <c r="H2" s="18"/>
      <c r="I2" s="18"/>
      <c r="J2" s="18"/>
      <c r="K2" s="18"/>
      <c r="L2" s="18"/>
      <c r="M2" s="18"/>
      <c r="N2" s="18"/>
      <c r="O2" s="18"/>
      <c r="P2" s="18"/>
      <c r="Q2" s="18"/>
    </row>
    <row r="3" spans="2:21">
      <c r="B3" s="18"/>
      <c r="C3" s="18"/>
      <c r="D3" s="18"/>
      <c r="E3" s="18"/>
      <c r="F3" s="18"/>
      <c r="G3" s="18"/>
      <c r="H3" s="18"/>
      <c r="I3" s="18"/>
      <c r="J3" s="18"/>
      <c r="K3" s="18"/>
      <c r="L3" s="18"/>
      <c r="M3" s="18"/>
      <c r="N3" s="18"/>
      <c r="O3" s="18"/>
      <c r="P3" s="18"/>
      <c r="Q3" s="18"/>
    </row>
    <row r="4" spans="2:21">
      <c r="B4" s="18"/>
      <c r="C4" s="18"/>
      <c r="D4" s="18"/>
      <c r="E4" s="18"/>
      <c r="F4" s="18"/>
      <c r="G4" s="18"/>
      <c r="H4" s="18"/>
      <c r="I4" s="18"/>
      <c r="J4" s="18"/>
      <c r="K4" s="18"/>
      <c r="L4" s="18"/>
      <c r="M4" s="18"/>
      <c r="N4" s="18"/>
      <c r="O4" s="18"/>
      <c r="P4" s="18"/>
      <c r="Q4" s="18"/>
    </row>
    <row r="5" spans="2:21" ht="18.75">
      <c r="B5" s="532" t="s">
        <v>1462</v>
      </c>
      <c r="C5" s="532"/>
      <c r="D5" s="532"/>
      <c r="E5" s="532"/>
      <c r="F5" s="532"/>
      <c r="G5" s="532"/>
      <c r="H5" s="532"/>
      <c r="I5" s="532"/>
      <c r="J5" s="532"/>
      <c r="K5" s="532"/>
      <c r="L5" s="532"/>
      <c r="M5" s="532"/>
      <c r="N5" s="532"/>
      <c r="O5" s="532"/>
      <c r="P5" s="532"/>
      <c r="Q5" s="532"/>
      <c r="R5" s="532"/>
      <c r="S5" s="532"/>
      <c r="T5" s="532"/>
      <c r="U5" s="532"/>
    </row>
    <row r="6" spans="2:21" ht="18.75">
      <c r="B6" s="145" t="s">
        <v>1790</v>
      </c>
      <c r="C6" s="146"/>
      <c r="D6" s="146"/>
      <c r="E6" s="146"/>
      <c r="F6" s="146"/>
      <c r="G6" s="146"/>
      <c r="H6" s="146"/>
      <c r="I6" s="146"/>
      <c r="J6" s="146"/>
      <c r="K6" s="146"/>
      <c r="L6" s="146"/>
      <c r="M6" s="146"/>
      <c r="N6" s="146"/>
      <c r="O6" s="146"/>
      <c r="P6" s="146"/>
      <c r="Q6" s="146"/>
    </row>
    <row r="7" spans="2:21" ht="15">
      <c r="B7" s="144" t="s">
        <v>2430</v>
      </c>
      <c r="C7" s="18"/>
      <c r="D7" s="18"/>
      <c r="E7" s="18"/>
      <c r="F7" s="18"/>
      <c r="G7" s="18"/>
      <c r="H7" s="18"/>
      <c r="I7" s="18"/>
      <c r="J7" s="18"/>
      <c r="K7" s="18"/>
      <c r="L7" s="18"/>
      <c r="M7" s="18"/>
      <c r="N7" s="18"/>
      <c r="O7" s="18"/>
      <c r="P7" s="18"/>
      <c r="Q7" s="18"/>
    </row>
    <row r="8" spans="2:21" ht="15">
      <c r="B8" s="414" t="s">
        <v>1347</v>
      </c>
      <c r="C8" s="415"/>
      <c r="D8" s="415"/>
      <c r="E8" s="415"/>
      <c r="F8" s="415"/>
      <c r="G8" s="415"/>
      <c r="H8" s="18"/>
      <c r="I8" s="18"/>
      <c r="J8" s="18"/>
      <c r="K8" s="18"/>
      <c r="L8" s="18"/>
      <c r="M8" s="18"/>
      <c r="N8" s="18"/>
      <c r="O8" s="18"/>
      <c r="P8" s="18"/>
      <c r="Q8" s="18"/>
    </row>
    <row r="9" spans="2:21" ht="15">
      <c r="B9" s="144" t="s">
        <v>2436</v>
      </c>
      <c r="C9" s="18"/>
      <c r="D9" s="18"/>
      <c r="E9" s="18"/>
      <c r="F9" s="18"/>
      <c r="G9" s="18"/>
      <c r="H9" s="18"/>
      <c r="I9" s="18"/>
      <c r="J9" s="18"/>
      <c r="K9" s="18"/>
      <c r="L9" s="18"/>
      <c r="M9" s="18"/>
      <c r="N9" s="18"/>
      <c r="O9" s="18"/>
      <c r="P9" s="18"/>
      <c r="Q9" s="18"/>
    </row>
    <row r="10" spans="2:21" ht="15">
      <c r="B10" s="144" t="s">
        <v>2877</v>
      </c>
      <c r="C10" s="18"/>
      <c r="D10" s="18"/>
      <c r="E10" s="18"/>
      <c r="F10" s="18"/>
      <c r="G10" s="18"/>
      <c r="H10" s="18"/>
      <c r="I10" s="18"/>
      <c r="J10" s="18"/>
      <c r="K10" s="18"/>
      <c r="L10" s="18"/>
      <c r="M10" s="18"/>
      <c r="N10" s="18"/>
      <c r="O10" s="18"/>
      <c r="P10" s="18"/>
      <c r="Q10" s="18"/>
    </row>
    <row r="11" spans="2:21" ht="15">
      <c r="B11" s="144"/>
      <c r="C11" s="18"/>
      <c r="D11" s="18"/>
      <c r="E11" s="18"/>
      <c r="F11" s="18"/>
      <c r="G11" s="18"/>
      <c r="H11" s="18"/>
      <c r="I11" s="18"/>
      <c r="J11" s="18"/>
      <c r="K11" s="18"/>
      <c r="L11" s="18"/>
      <c r="M11" s="18"/>
      <c r="N11" s="18"/>
      <c r="O11" s="18"/>
      <c r="P11" s="18"/>
      <c r="Q11" s="18"/>
    </row>
    <row r="12" spans="2:21" ht="15">
      <c r="B12" s="145" t="s">
        <v>1792</v>
      </c>
      <c r="C12" s="18"/>
      <c r="D12" s="18"/>
      <c r="E12" s="18"/>
      <c r="F12" s="18"/>
      <c r="G12" s="18"/>
      <c r="H12" s="18"/>
      <c r="I12" s="18"/>
      <c r="J12" s="18"/>
      <c r="K12" s="18"/>
      <c r="L12" s="18"/>
      <c r="M12" s="18"/>
      <c r="N12" s="18"/>
      <c r="O12" s="18"/>
      <c r="P12" s="18"/>
      <c r="Q12" s="18"/>
    </row>
    <row r="13" spans="2:21" ht="15">
      <c r="B13" s="144" t="s">
        <v>1791</v>
      </c>
      <c r="C13" s="18"/>
      <c r="D13" s="18"/>
      <c r="E13" s="18"/>
      <c r="F13" s="18"/>
      <c r="G13" s="18"/>
      <c r="H13" s="18"/>
      <c r="I13" s="18"/>
      <c r="J13" s="18"/>
      <c r="K13" s="18"/>
      <c r="L13" s="18"/>
      <c r="M13" s="18"/>
      <c r="N13" s="18"/>
      <c r="O13" s="18"/>
      <c r="P13" s="18"/>
      <c r="Q13" s="18"/>
    </row>
    <row r="14" spans="2:21" ht="15">
      <c r="B14" s="144"/>
      <c r="C14" s="18"/>
      <c r="D14" s="18"/>
      <c r="E14" s="18"/>
      <c r="F14" s="18"/>
      <c r="G14" s="18"/>
      <c r="H14" s="18"/>
      <c r="I14" s="18"/>
      <c r="J14" s="18"/>
      <c r="K14" s="18"/>
      <c r="L14" s="18"/>
      <c r="M14" s="18"/>
      <c r="N14" s="18"/>
      <c r="O14" s="18"/>
      <c r="P14" s="18"/>
      <c r="Q14" s="18"/>
    </row>
    <row r="15" spans="2:21" ht="15">
      <c r="B15" s="216" t="s">
        <v>1425</v>
      </c>
      <c r="C15" s="217"/>
      <c r="D15" s="217"/>
      <c r="E15" s="217"/>
      <c r="F15" s="217"/>
      <c r="G15" s="217"/>
      <c r="H15" s="217"/>
      <c r="I15" s="217"/>
      <c r="J15" s="217"/>
      <c r="K15" s="217"/>
      <c r="L15" s="217"/>
      <c r="M15" s="218"/>
      <c r="N15" s="18"/>
      <c r="O15" s="18"/>
      <c r="P15" s="18"/>
      <c r="Q15" s="18"/>
    </row>
    <row r="16" spans="2:21" ht="15">
      <c r="B16" s="219" t="s">
        <v>1429</v>
      </c>
      <c r="C16" s="139"/>
      <c r="D16" s="139"/>
      <c r="E16" s="139"/>
      <c r="F16" s="139"/>
      <c r="G16" s="139"/>
      <c r="H16" s="139"/>
      <c r="I16" s="139"/>
      <c r="J16" s="139"/>
      <c r="K16" s="139"/>
      <c r="L16" s="139"/>
      <c r="M16" s="220"/>
      <c r="N16" s="18"/>
      <c r="O16" s="18"/>
      <c r="P16" s="18"/>
      <c r="Q16" s="18"/>
    </row>
    <row r="17" spans="2:17" ht="15">
      <c r="B17" s="221" t="s">
        <v>1426</v>
      </c>
      <c r="C17" s="139"/>
      <c r="D17" s="139"/>
      <c r="E17" s="139"/>
      <c r="F17" s="139"/>
      <c r="G17" s="139"/>
      <c r="H17" s="139"/>
      <c r="I17" s="139"/>
      <c r="J17" s="139"/>
      <c r="K17" s="139"/>
      <c r="L17" s="139"/>
      <c r="M17" s="220"/>
      <c r="N17" s="18"/>
      <c r="O17" s="18"/>
      <c r="P17" s="18"/>
      <c r="Q17" s="18"/>
    </row>
    <row r="18" spans="2:17" ht="15">
      <c r="B18" s="222" t="s">
        <v>1427</v>
      </c>
      <c r="C18" s="223"/>
      <c r="D18" s="223"/>
      <c r="E18" s="223"/>
      <c r="F18" s="223"/>
      <c r="G18" s="223"/>
      <c r="H18" s="223"/>
      <c r="I18" s="223"/>
      <c r="J18" s="223"/>
      <c r="K18" s="223"/>
      <c r="L18" s="223"/>
      <c r="M18" s="224"/>
      <c r="N18" s="18"/>
      <c r="O18" s="18"/>
      <c r="P18" s="18"/>
      <c r="Q18" s="18"/>
    </row>
    <row r="19" spans="2:17">
      <c r="C19" s="18"/>
      <c r="D19" s="18"/>
      <c r="E19" s="18"/>
      <c r="F19" s="18"/>
      <c r="G19" s="18"/>
      <c r="H19" s="18"/>
      <c r="I19" s="18"/>
      <c r="J19" s="18"/>
      <c r="K19" s="18"/>
      <c r="L19" s="18"/>
      <c r="M19" s="18"/>
      <c r="N19" s="18"/>
      <c r="O19" s="18"/>
      <c r="P19" s="18"/>
      <c r="Q19" s="18"/>
    </row>
    <row r="20" spans="2:17" ht="15">
      <c r="B20" s="145" t="s">
        <v>1420</v>
      </c>
      <c r="C20" s="18"/>
      <c r="D20" s="18"/>
      <c r="E20" s="18"/>
      <c r="F20" s="18"/>
      <c r="G20" s="18"/>
      <c r="H20" s="18"/>
      <c r="I20" s="18"/>
      <c r="J20" s="18"/>
      <c r="K20" s="18"/>
      <c r="L20" s="18"/>
      <c r="M20" s="18"/>
      <c r="N20" s="18"/>
      <c r="O20" s="18"/>
      <c r="P20" s="18"/>
      <c r="Q20" s="18"/>
    </row>
    <row r="21" spans="2:17" ht="15">
      <c r="B21" s="144" t="s">
        <v>1340</v>
      </c>
      <c r="C21" s="18"/>
      <c r="D21" s="18"/>
      <c r="E21" s="18"/>
      <c r="F21" s="18"/>
      <c r="G21" s="18"/>
      <c r="H21" s="18"/>
      <c r="I21" s="18"/>
      <c r="J21" s="18"/>
      <c r="K21" s="18"/>
      <c r="L21" s="18"/>
      <c r="M21" s="18"/>
      <c r="N21" s="18"/>
      <c r="O21" s="18"/>
      <c r="P21" s="18"/>
      <c r="Q21" s="18"/>
    </row>
    <row r="22" spans="2:17" ht="15">
      <c r="B22" s="144" t="s">
        <v>1341</v>
      </c>
      <c r="C22" s="18"/>
      <c r="D22" s="18"/>
      <c r="E22" s="18"/>
      <c r="F22" s="18"/>
      <c r="G22" s="18"/>
      <c r="H22" s="18"/>
      <c r="I22" s="18"/>
      <c r="J22" s="18"/>
      <c r="K22" s="18"/>
      <c r="L22" s="18"/>
      <c r="M22" s="18"/>
      <c r="N22" s="18"/>
      <c r="O22" s="18"/>
      <c r="P22" s="18"/>
      <c r="Q22" s="18"/>
    </row>
    <row r="23" spans="2:17" ht="15">
      <c r="B23" s="147" t="s">
        <v>1345</v>
      </c>
      <c r="C23" s="18"/>
      <c r="D23" s="18"/>
      <c r="E23" s="18"/>
      <c r="F23" s="18"/>
      <c r="G23" s="18"/>
      <c r="H23" s="18"/>
      <c r="I23" s="18"/>
      <c r="J23" s="18"/>
      <c r="K23" s="18"/>
      <c r="L23" s="18"/>
      <c r="M23" s="18"/>
      <c r="N23" s="18"/>
      <c r="O23" s="18"/>
      <c r="P23" s="18"/>
      <c r="Q23" s="18"/>
    </row>
    <row r="24" spans="2:17" ht="15">
      <c r="B24" s="144"/>
      <c r="C24" s="18"/>
      <c r="D24" s="18"/>
      <c r="E24" s="18"/>
      <c r="F24" s="18"/>
      <c r="G24" s="18"/>
      <c r="H24" s="18"/>
      <c r="I24" s="18"/>
      <c r="J24" s="18"/>
      <c r="K24" s="18"/>
      <c r="L24" s="18"/>
      <c r="M24" s="18"/>
      <c r="N24" s="18"/>
      <c r="O24" s="18"/>
      <c r="P24" s="18"/>
      <c r="Q24" s="18"/>
    </row>
    <row r="25" spans="2:17" ht="15">
      <c r="B25" s="145" t="s">
        <v>1421</v>
      </c>
      <c r="C25" s="18"/>
      <c r="D25" s="18"/>
      <c r="E25" s="18"/>
      <c r="F25" s="18"/>
      <c r="G25" s="18"/>
      <c r="H25" s="18"/>
      <c r="I25" s="18"/>
      <c r="J25" s="18"/>
      <c r="K25" s="18"/>
      <c r="L25" s="18"/>
      <c r="M25" s="18"/>
      <c r="N25" s="18"/>
      <c r="O25" s="18"/>
      <c r="P25" s="18"/>
      <c r="Q25" s="18"/>
    </row>
    <row r="26" spans="2:17" ht="15">
      <c r="B26" s="144" t="s">
        <v>1342</v>
      </c>
      <c r="C26" s="18"/>
      <c r="D26" s="18"/>
      <c r="E26" s="18"/>
      <c r="F26" s="18"/>
      <c r="G26" s="18"/>
      <c r="H26" s="18"/>
      <c r="I26" s="18"/>
      <c r="J26" s="18"/>
      <c r="K26" s="18"/>
      <c r="L26" s="18"/>
      <c r="M26" s="18"/>
      <c r="N26" s="18"/>
      <c r="O26" s="18"/>
      <c r="P26" s="18"/>
      <c r="Q26" s="18"/>
    </row>
    <row r="27" spans="2:17" ht="15">
      <c r="B27" s="144"/>
      <c r="C27" s="18"/>
      <c r="D27" s="18"/>
      <c r="E27" s="18"/>
      <c r="F27" s="18"/>
      <c r="G27" s="18"/>
      <c r="H27" s="18"/>
      <c r="I27" s="18"/>
      <c r="J27" s="18"/>
      <c r="K27" s="18"/>
      <c r="L27" s="18"/>
      <c r="M27" s="18"/>
      <c r="N27" s="18"/>
      <c r="O27" s="18"/>
      <c r="P27" s="18"/>
      <c r="Q27" s="18"/>
    </row>
    <row r="28" spans="2:17" ht="15">
      <c r="B28" s="145" t="s">
        <v>1793</v>
      </c>
      <c r="C28" s="18"/>
      <c r="D28" s="18"/>
      <c r="E28" s="18"/>
      <c r="F28" s="18"/>
      <c r="G28" s="18"/>
      <c r="H28" s="18"/>
      <c r="I28" s="18"/>
      <c r="J28" s="18"/>
      <c r="K28" s="18"/>
      <c r="L28" s="18"/>
      <c r="M28" s="18"/>
      <c r="N28" s="18"/>
      <c r="O28" s="18"/>
      <c r="P28" s="18"/>
      <c r="Q28" s="18"/>
    </row>
    <row r="29" spans="2:17" ht="15">
      <c r="B29" s="144" t="s">
        <v>2878</v>
      </c>
      <c r="C29" s="18"/>
      <c r="D29" s="18"/>
      <c r="E29" s="18"/>
      <c r="F29" s="18"/>
      <c r="G29" s="18"/>
      <c r="H29" s="18"/>
      <c r="I29" s="18"/>
      <c r="J29" s="18"/>
      <c r="K29" s="18"/>
      <c r="L29" s="18"/>
      <c r="M29" s="18"/>
      <c r="N29" s="18"/>
      <c r="O29" s="18"/>
      <c r="P29" s="18"/>
      <c r="Q29" s="18"/>
    </row>
    <row r="30" spans="2:17" ht="15">
      <c r="B30" s="144"/>
      <c r="C30" s="18"/>
      <c r="D30" s="18"/>
      <c r="E30" s="18"/>
      <c r="F30" s="18"/>
      <c r="G30" s="18"/>
      <c r="H30" s="18"/>
      <c r="I30" s="18"/>
      <c r="J30" s="18"/>
      <c r="K30" s="18"/>
      <c r="L30" s="18"/>
      <c r="M30" s="18"/>
      <c r="N30" s="18"/>
      <c r="O30" s="18"/>
      <c r="P30" s="18"/>
      <c r="Q30" s="18"/>
    </row>
    <row r="31" spans="2:17" ht="15">
      <c r="B31" s="145" t="s">
        <v>1422</v>
      </c>
      <c r="C31" s="18"/>
      <c r="D31" s="18"/>
      <c r="E31" s="18"/>
      <c r="F31" s="18"/>
      <c r="G31" s="18"/>
      <c r="H31" s="18"/>
      <c r="I31" s="18"/>
      <c r="J31" s="18"/>
      <c r="K31" s="18"/>
      <c r="L31" s="18"/>
      <c r="M31" s="18"/>
      <c r="N31" s="18"/>
      <c r="O31" s="18"/>
      <c r="P31" s="18"/>
      <c r="Q31" s="18"/>
    </row>
    <row r="32" spans="2:17" ht="15">
      <c r="B32" s="144" t="s">
        <v>1343</v>
      </c>
      <c r="C32" s="18"/>
      <c r="D32" s="18"/>
      <c r="E32" s="18"/>
      <c r="F32" s="18"/>
      <c r="G32" s="18"/>
      <c r="H32" s="18"/>
      <c r="I32" s="18"/>
      <c r="J32" s="18"/>
      <c r="K32" s="18"/>
      <c r="L32" s="18"/>
      <c r="M32" s="18"/>
      <c r="N32" s="18"/>
      <c r="O32" s="18"/>
      <c r="P32" s="18"/>
      <c r="Q32" s="18"/>
    </row>
    <row r="33" spans="2:21" ht="15">
      <c r="B33" s="144"/>
      <c r="C33" s="18"/>
      <c r="D33" s="18"/>
      <c r="E33" s="18"/>
      <c r="F33" s="18"/>
      <c r="G33" s="18"/>
      <c r="H33" s="18"/>
      <c r="I33" s="18"/>
      <c r="J33" s="18"/>
      <c r="K33" s="18"/>
      <c r="L33" s="18"/>
      <c r="M33" s="18"/>
      <c r="N33" s="18"/>
      <c r="O33" s="18"/>
      <c r="P33" s="18"/>
      <c r="Q33" s="18"/>
    </row>
    <row r="34" spans="2:21" ht="15">
      <c r="B34" s="145" t="s">
        <v>1538</v>
      </c>
      <c r="C34" s="18"/>
      <c r="D34" s="18"/>
      <c r="E34" s="18"/>
      <c r="F34" s="18"/>
      <c r="G34" s="18"/>
      <c r="H34" s="18"/>
      <c r="I34" s="18"/>
      <c r="J34" s="18"/>
      <c r="K34" s="18"/>
      <c r="L34" s="18"/>
      <c r="M34" s="18"/>
      <c r="N34" s="18"/>
      <c r="O34" s="18"/>
      <c r="P34" s="18"/>
      <c r="Q34" s="18"/>
    </row>
    <row r="35" spans="2:21" ht="15">
      <c r="B35" s="144" t="s">
        <v>2879</v>
      </c>
      <c r="C35" s="18"/>
      <c r="D35" s="18"/>
      <c r="E35" s="18"/>
      <c r="F35" s="18"/>
      <c r="G35" s="18"/>
      <c r="H35" s="18"/>
      <c r="I35" s="18"/>
      <c r="J35" s="18"/>
      <c r="K35" s="18"/>
      <c r="L35" s="18"/>
      <c r="M35" s="18"/>
      <c r="N35" s="18"/>
      <c r="O35" s="18"/>
      <c r="P35" s="18"/>
      <c r="Q35" s="18"/>
    </row>
    <row r="36" spans="2:21" ht="15">
      <c r="B36" s="144"/>
      <c r="C36" s="18"/>
      <c r="D36" s="18"/>
      <c r="E36" s="18"/>
      <c r="F36" s="18"/>
      <c r="G36" s="18"/>
      <c r="H36" s="18"/>
      <c r="I36" s="18"/>
      <c r="J36" s="18"/>
      <c r="K36" s="18"/>
      <c r="L36" s="18"/>
      <c r="M36" s="18"/>
      <c r="N36" s="18"/>
      <c r="O36" s="18"/>
      <c r="P36" s="18"/>
      <c r="Q36" s="18"/>
    </row>
    <row r="37" spans="2:21" ht="15">
      <c r="B37" s="145" t="s">
        <v>1794</v>
      </c>
      <c r="C37" s="18"/>
      <c r="D37" s="18"/>
      <c r="E37" s="18"/>
      <c r="F37" s="18"/>
      <c r="G37" s="18"/>
      <c r="H37" s="18"/>
      <c r="I37" s="18"/>
      <c r="J37" s="18"/>
      <c r="K37" s="18"/>
      <c r="L37" s="18"/>
      <c r="M37" s="18"/>
      <c r="N37" s="18"/>
      <c r="O37" s="18"/>
      <c r="P37" s="18"/>
      <c r="Q37" s="18"/>
    </row>
    <row r="38" spans="2:21" ht="15">
      <c r="B38" s="144" t="s">
        <v>1435</v>
      </c>
      <c r="C38" s="18"/>
      <c r="D38" s="18"/>
      <c r="E38" s="18"/>
      <c r="F38" s="18"/>
      <c r="G38" s="18"/>
      <c r="H38" s="18"/>
      <c r="I38" s="18"/>
      <c r="J38" s="18"/>
      <c r="K38" s="18"/>
      <c r="L38" s="18"/>
      <c r="M38" s="18"/>
      <c r="N38" s="18"/>
      <c r="O38" s="18"/>
      <c r="P38" s="18"/>
      <c r="Q38" s="18"/>
    </row>
    <row r="39" spans="2:21" ht="15">
      <c r="B39" s="144" t="s">
        <v>1461</v>
      </c>
      <c r="C39" s="18"/>
      <c r="D39" s="18"/>
      <c r="E39" s="18"/>
      <c r="F39" s="18"/>
      <c r="G39" s="18"/>
      <c r="H39" s="18"/>
      <c r="I39" s="18"/>
      <c r="J39" s="18"/>
      <c r="K39" s="18"/>
      <c r="L39" s="18"/>
      <c r="M39" s="18"/>
      <c r="N39" s="18"/>
      <c r="O39" s="18"/>
      <c r="P39" s="18"/>
      <c r="Q39" s="18"/>
    </row>
    <row r="40" spans="2:21" ht="15">
      <c r="B40" s="144" t="s">
        <v>1346</v>
      </c>
      <c r="C40" s="18"/>
      <c r="D40" s="18"/>
      <c r="E40" s="18"/>
      <c r="F40" s="18"/>
      <c r="G40" s="18"/>
      <c r="H40" s="18"/>
      <c r="I40" s="18"/>
      <c r="J40" s="18"/>
      <c r="K40" s="18"/>
      <c r="L40" s="18"/>
      <c r="M40" s="18"/>
      <c r="N40" s="18"/>
      <c r="O40" s="18"/>
      <c r="P40" s="18"/>
      <c r="Q40" s="18"/>
    </row>
    <row r="41" spans="2:21" ht="15">
      <c r="B41" s="144" t="s">
        <v>1344</v>
      </c>
      <c r="C41" s="18"/>
      <c r="D41" s="18"/>
      <c r="E41" s="18"/>
      <c r="F41" s="18"/>
      <c r="G41" s="18"/>
      <c r="H41" s="18"/>
      <c r="I41" s="18"/>
      <c r="J41" s="18"/>
      <c r="K41" s="18"/>
      <c r="L41" s="18"/>
      <c r="M41" s="18"/>
      <c r="N41" s="18"/>
      <c r="O41" s="18"/>
      <c r="P41" s="18"/>
      <c r="Q41" s="18"/>
    </row>
    <row r="42" spans="2:21" ht="15">
      <c r="B42" s="144"/>
      <c r="C42" s="18"/>
      <c r="D42" s="18"/>
      <c r="E42" s="18"/>
      <c r="F42" s="18"/>
      <c r="G42" s="18"/>
      <c r="H42" s="18"/>
      <c r="I42" s="18"/>
      <c r="J42" s="18"/>
      <c r="K42" s="18"/>
      <c r="L42" s="18"/>
      <c r="M42" s="18"/>
      <c r="N42" s="18"/>
      <c r="O42" s="18"/>
      <c r="P42" s="18"/>
      <c r="Q42" s="18"/>
    </row>
    <row r="43" spans="2:21" ht="15">
      <c r="B43" s="145" t="s">
        <v>2103</v>
      </c>
      <c r="C43" s="18"/>
      <c r="D43" s="18"/>
      <c r="E43" s="18"/>
      <c r="F43" s="18"/>
      <c r="G43" s="18"/>
      <c r="H43" s="18"/>
      <c r="I43" s="18"/>
      <c r="J43" s="18"/>
      <c r="K43" s="18"/>
      <c r="L43" s="18"/>
      <c r="M43" s="18"/>
      <c r="N43" s="18"/>
      <c r="O43" s="18"/>
      <c r="P43" s="18"/>
      <c r="Q43" s="18"/>
    </row>
    <row r="44" spans="2:21" ht="45">
      <c r="B44" s="212" t="s">
        <v>2106</v>
      </c>
      <c r="C44" s="212" t="s">
        <v>2104</v>
      </c>
      <c r="D44" s="212" t="s">
        <v>2105</v>
      </c>
      <c r="E44" s="18"/>
      <c r="F44" s="18"/>
      <c r="G44" s="18"/>
      <c r="H44" s="18"/>
      <c r="I44" s="18"/>
      <c r="J44" s="18"/>
      <c r="K44" s="18"/>
      <c r="L44" s="18"/>
      <c r="M44" s="18"/>
      <c r="N44" s="18"/>
      <c r="O44" s="18"/>
      <c r="P44" s="18"/>
      <c r="Q44" s="18"/>
    </row>
    <row r="45" spans="2:21" ht="15">
      <c r="B45" s="215" t="s">
        <v>2089</v>
      </c>
      <c r="C45" s="213">
        <f ca="1">--(VLOOKUP( 66, Lookup_BSa,5, 0) = VLOOKUP( 169, Lookup_BSp, 5, 0))</f>
        <v>1</v>
      </c>
      <c r="D45" s="213">
        <f ca="1">--(VLOOKUP( 66, Lookup_BSa, 6, 0) = VLOOKUP( 169, Lookup_BSp, 6, 0))</f>
        <v>1</v>
      </c>
      <c r="E45" s="211" t="s">
        <v>40</v>
      </c>
      <c r="F45" s="18"/>
      <c r="G45" s="18"/>
      <c r="H45" s="18"/>
      <c r="I45" s="18"/>
      <c r="J45" s="18"/>
      <c r="K45" s="18"/>
      <c r="L45" s="18"/>
      <c r="O45" s="18"/>
      <c r="P45" s="18"/>
      <c r="Q45" s="18"/>
      <c r="S45" s="18"/>
      <c r="T45" s="18"/>
      <c r="U45" s="18"/>
    </row>
    <row r="46" spans="2:21" ht="15">
      <c r="B46" s="215" t="s">
        <v>2090</v>
      </c>
      <c r="C46" s="213">
        <f ca="1">--(VLOOKUP( 67, Lookup_BSa, 5, 0) = VLOOKUP( 170, Lookup_BSp, 5, 0))</f>
        <v>1</v>
      </c>
      <c r="D46" s="213">
        <f ca="1">--(VLOOKUP( 67, Lookup_BSa, 6, 0) = VLOOKUP( 170, Lookup_BSp, 6, 0))</f>
        <v>1</v>
      </c>
      <c r="E46" s="211" t="s">
        <v>284</v>
      </c>
      <c r="F46" s="18"/>
      <c r="G46" s="18"/>
      <c r="H46" s="18"/>
      <c r="I46" s="18"/>
      <c r="J46" s="18"/>
      <c r="K46" s="18"/>
      <c r="L46" s="18"/>
      <c r="O46" s="18"/>
      <c r="P46" s="18"/>
      <c r="Q46" s="18"/>
      <c r="S46" s="18"/>
      <c r="T46" s="18"/>
      <c r="U46" s="18"/>
    </row>
    <row r="47" spans="2:21" ht="15">
      <c r="B47" s="215" t="s">
        <v>2091</v>
      </c>
      <c r="C47" s="213">
        <f ca="1">--( IF( VLOOKUP( 66, Lookup_BSa, 5, 0) = 0, VLOOKUP( 316, Lookup_BUa, 3, 0) = VLOOKUP( 126, Lookup_BSp, 5, 0), TRUE))</f>
        <v>1</v>
      </c>
      <c r="D47" s="213">
        <f ca="1">--( IF( VLOOKUP( 66, Lookup_BSa, 5, 0) = 0, VLOOKUP( 316, Lookup_BUa, 3, 0) = VLOOKUP( 126, Lookup_BSp, 5, 0), TRUE))</f>
        <v>1</v>
      </c>
      <c r="E47" s="211" t="s">
        <v>5</v>
      </c>
      <c r="F47" s="18"/>
      <c r="G47" s="18"/>
      <c r="H47" s="18"/>
      <c r="I47" s="18"/>
      <c r="J47" s="18"/>
      <c r="K47" s="18"/>
      <c r="L47" s="18"/>
      <c r="O47" s="18"/>
      <c r="P47" s="18"/>
      <c r="Q47" s="18"/>
      <c r="S47" s="18"/>
      <c r="T47" s="18"/>
      <c r="U47" s="18"/>
    </row>
    <row r="48" spans="2:21" ht="15">
      <c r="B48" s="215" t="s">
        <v>2092</v>
      </c>
      <c r="C48" s="213">
        <f ca="1">--( IF( VLOOKUP( 66, Lookup_BSa, 4, 0) = 0, VLOOKUP( 317, Lookup_BUa, 2, 0) = VLOOKUP( 130, Lookup_BSp, 4, 0), TRUE))</f>
        <v>1</v>
      </c>
      <c r="D48" s="213">
        <f ca="1">--( IF( VLOOKUP( 66, Lookup_BSa, 4, 0) = 0, VLOOKUP( 317, Lookup_BUa, 2, 0) = VLOOKUP( 130, Lookup_BSp, 4, 0), TRUE))</f>
        <v>1</v>
      </c>
      <c r="E48" s="211" t="s">
        <v>6</v>
      </c>
      <c r="F48" s="18"/>
      <c r="G48" s="18"/>
      <c r="H48" s="18"/>
      <c r="I48" s="18"/>
      <c r="J48" s="18"/>
      <c r="K48" s="18"/>
      <c r="L48" s="18"/>
      <c r="O48" s="18"/>
      <c r="P48" s="18"/>
      <c r="Q48" s="18"/>
      <c r="S48" s="18"/>
      <c r="T48" s="18"/>
      <c r="U48" s="18"/>
    </row>
    <row r="49" spans="1:21" ht="15">
      <c r="B49" s="215" t="s">
        <v>2093</v>
      </c>
      <c r="C49" s="213">
        <f ca="1">--(VLOOKUP( 548, Lookup_BTG, 2, 0) = VLOOKUP( 56, Lookup_BSa, 4, 0))</f>
        <v>1</v>
      </c>
      <c r="D49" s="213">
        <f ca="1">--(VLOOKUP( 548, Lookup_BTG, 2, 0) = VLOOKUP( 56, Lookup_BSa, 4, 0))</f>
        <v>1</v>
      </c>
      <c r="E49" s="211" t="s">
        <v>285</v>
      </c>
      <c r="F49" s="18"/>
      <c r="G49" s="18"/>
      <c r="H49" s="18"/>
      <c r="I49" s="18"/>
      <c r="J49" s="18"/>
      <c r="K49" s="18"/>
      <c r="L49" s="18"/>
      <c r="O49" s="18"/>
      <c r="P49" s="18"/>
      <c r="Q49" s="18"/>
      <c r="S49" s="18"/>
      <c r="T49" s="18"/>
      <c r="U49" s="18"/>
    </row>
    <row r="50" spans="1:21" ht="15">
      <c r="B50" s="215" t="s">
        <v>2094</v>
      </c>
      <c r="C50" s="214"/>
      <c r="D50" s="213">
        <f ca="1">--( IF( VLOOKUP( 101, Lookup_BSp, 6, 0) &gt; 0, VLOOKUP( 913, Lookup_BPK,  9, 0) = VLOOKUP( 101, Lookup_BSp, 6, 0), TRUE))</f>
        <v>1</v>
      </c>
      <c r="E50" s="211" t="s">
        <v>286</v>
      </c>
      <c r="F50" s="18"/>
      <c r="G50" s="18"/>
      <c r="H50" s="18"/>
      <c r="I50" s="18"/>
      <c r="J50" s="18"/>
      <c r="K50" s="18"/>
      <c r="L50" s="18"/>
      <c r="O50" s="18"/>
      <c r="P50" s="18"/>
      <c r="Q50" s="18"/>
      <c r="S50" s="18"/>
      <c r="T50" s="18"/>
      <c r="U50" s="18"/>
    </row>
    <row r="51" spans="1:21" ht="15">
      <c r="B51" s="215" t="s">
        <v>2095</v>
      </c>
      <c r="C51" s="213">
        <f ca="1">--( IF( VLOOKUP( 101, Lookup_BSp, 5, 0) &gt; 0, VLOOKUP( 925, Lookup_BPK, 9, 0) = VLOOKUP( 101, Lookup_BSp, 5, 0), TRUE))</f>
        <v>1</v>
      </c>
      <c r="D51" s="213"/>
      <c r="E51" s="211" t="s">
        <v>287</v>
      </c>
      <c r="F51" s="18"/>
      <c r="G51" s="18"/>
      <c r="H51" s="18"/>
      <c r="I51" s="18"/>
      <c r="J51" s="18"/>
      <c r="K51" s="18"/>
      <c r="L51" s="18"/>
      <c r="O51" s="18"/>
      <c r="P51" s="18"/>
      <c r="Q51" s="18"/>
      <c r="S51" s="18"/>
      <c r="T51" s="18"/>
      <c r="U51" s="18"/>
    </row>
    <row r="52" spans="1:21" ht="15">
      <c r="B52" s="144"/>
      <c r="C52" s="18"/>
      <c r="D52" s="18"/>
      <c r="E52" s="18"/>
      <c r="F52" s="18"/>
      <c r="G52" s="18"/>
      <c r="H52" s="18"/>
      <c r="I52" s="18"/>
      <c r="J52" s="18"/>
      <c r="K52" s="18"/>
      <c r="L52" s="18"/>
      <c r="O52" s="18"/>
      <c r="P52" s="18"/>
      <c r="Q52" s="18"/>
      <c r="S52" s="18"/>
      <c r="T52" s="18"/>
      <c r="U52" s="18"/>
    </row>
    <row r="53" spans="1:21" ht="15">
      <c r="B53" s="145" t="s">
        <v>2880</v>
      </c>
      <c r="E53" s="18"/>
      <c r="F53" s="18"/>
      <c r="G53" s="18"/>
      <c r="H53" s="18"/>
      <c r="I53" s="18"/>
      <c r="J53" s="18"/>
      <c r="K53" s="18"/>
      <c r="L53" s="18"/>
      <c r="O53" s="18"/>
      <c r="P53" s="18"/>
      <c r="Q53" s="18"/>
      <c r="S53" s="18"/>
      <c r="T53" s="18"/>
      <c r="U53" s="18"/>
    </row>
    <row r="54" spans="1:21" ht="15">
      <c r="B54" s="144" t="s">
        <v>2107</v>
      </c>
      <c r="E54" s="18"/>
      <c r="F54" s="18"/>
      <c r="G54" s="18"/>
      <c r="H54" s="18"/>
      <c r="I54" s="18"/>
      <c r="J54" s="18"/>
      <c r="K54" s="18"/>
      <c r="L54" s="18"/>
      <c r="O54" s="18"/>
      <c r="P54" s="18"/>
      <c r="Q54" s="18"/>
      <c r="S54" s="18"/>
      <c r="T54" s="18"/>
      <c r="U54" s="18"/>
    </row>
    <row r="55" spans="1:21" ht="15">
      <c r="A55" s="8" t="s">
        <v>2912</v>
      </c>
      <c r="B55" s="144"/>
      <c r="G55" s="18"/>
      <c r="H55" s="18"/>
      <c r="I55" s="18"/>
      <c r="J55" s="18"/>
      <c r="K55" s="18"/>
      <c r="L55" s="18"/>
      <c r="O55" s="18"/>
      <c r="P55" s="18"/>
      <c r="Q55" s="18"/>
      <c r="S55" s="18"/>
      <c r="T55" s="18"/>
      <c r="U55" s="18"/>
    </row>
    <row r="56" spans="1:21">
      <c r="G56" s="18"/>
      <c r="H56" s="18"/>
      <c r="I56" s="18"/>
      <c r="J56" s="18"/>
      <c r="K56" s="18"/>
      <c r="L56" s="18"/>
      <c r="O56" s="18"/>
      <c r="P56" s="18"/>
      <c r="Q56" s="18"/>
      <c r="S56" s="18"/>
      <c r="T56" s="18"/>
      <c r="U56" s="18"/>
    </row>
    <row r="57" spans="1:21" ht="15">
      <c r="B57" s="145" t="s">
        <v>19</v>
      </c>
      <c r="C57" s="145"/>
      <c r="D57" s="145"/>
      <c r="E57" s="145"/>
      <c r="F57" s="145"/>
      <c r="G57" s="18"/>
      <c r="H57" s="18"/>
      <c r="I57" s="18"/>
      <c r="J57" s="18"/>
      <c r="K57" s="18"/>
      <c r="L57" s="18"/>
      <c r="M57" s="18"/>
      <c r="N57" s="18"/>
      <c r="O57" s="18"/>
      <c r="P57" s="18"/>
      <c r="Q57" s="18"/>
    </row>
    <row r="58" spans="1:21">
      <c r="M58" s="18"/>
      <c r="N58" s="18"/>
      <c r="O58" s="18"/>
      <c r="P58" s="18"/>
      <c r="Q58" s="18"/>
    </row>
    <row r="59" spans="1:21">
      <c r="M59" s="18"/>
      <c r="N59" s="18"/>
      <c r="O59" s="18"/>
      <c r="P59" s="18"/>
      <c r="Q59" s="18"/>
    </row>
    <row r="60" spans="1:21">
      <c r="M60" s="18"/>
      <c r="N60" s="18"/>
      <c r="O60" s="18"/>
      <c r="P60" s="18"/>
    </row>
  </sheetData>
  <sheetProtection sheet="1" selectLockedCells="1" selectUnlockedCells="1"/>
  <mergeCells count="1">
    <mergeCell ref="B5:U5"/>
  </mergeCells>
  <phoneticPr fontId="4" type="noConversion"/>
  <conditionalFormatting sqref="C45:D51">
    <cfRule type="expression" dxfId="217" priority="1" stopIfTrue="1">
      <formula>C45=0</formula>
    </cfRule>
  </conditionalFormatting>
  <pageMargins left="0.39370078740157483" right="0.39370078740157483" top="0.39370078740157483" bottom="0.39370078740157483" header="0.51181102362204722" footer="0.51181102362204722"/>
  <pageSetup paperSize="9" scale="61"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00b">
    <tabColor rgb="FFB2B2B2"/>
  </sheetPr>
  <dimension ref="A1:AG126"/>
  <sheetViews>
    <sheetView showGridLines="0" showRowColHeaders="0" zoomScaleNormal="100" zoomScaleSheetLayoutView="100" workbookViewId="0">
      <pane xSplit="1" ySplit="6" topLeftCell="B37" activePane="bottomRight" state="frozen"/>
      <selection pane="topRight" activeCell="B1" sqref="B1"/>
      <selection pane="bottomLeft" activeCell="A7" sqref="A7"/>
      <selection pane="bottomRight" activeCell="D47" sqref="D47:V47"/>
    </sheetView>
  </sheetViews>
  <sheetFormatPr defaultColWidth="0" defaultRowHeight="12.75" zeroHeight="1"/>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row r="2" spans="2:31" ht="21" customHeight="1">
      <c r="AA2" s="98"/>
    </row>
    <row r="3" spans="2:31" ht="19.5" customHeight="1"/>
    <row r="4" spans="2:31" ht="16.5" customHeight="1" thickBot="1"/>
    <row r="5" spans="2:31" ht="20.25" customHeight="1" thickBot="1">
      <c r="B5" s="90" t="str">
        <f ca="1">Osnovno_Izaberite_jezik</f>
        <v>Izaberite jezik | Choose language</v>
      </c>
      <c r="C5"/>
      <c r="Y5" s="8">
        <f>COUNTIF(Y8:Y116, FALSE)</f>
        <v>2</v>
      </c>
      <c r="Z5" s="8">
        <f>COUNTIF(Z8:Z116, FALSE)</f>
        <v>0</v>
      </c>
    </row>
    <row r="6" spans="2:31" ht="12.75" customHeight="1">
      <c r="Y6" s="121" t="s">
        <v>1784</v>
      </c>
      <c r="Z6" s="121" t="s">
        <v>1785</v>
      </c>
      <c r="AA6" s="148" t="s">
        <v>1786</v>
      </c>
      <c r="AB6" s="149" t="s">
        <v>1783</v>
      </c>
    </row>
    <row r="7" spans="2:31" ht="15.75" customHeight="1" thickBot="1">
      <c r="B7" s="100" t="str">
        <f ca="1">Osnovno_Izvjestajni_period</f>
        <v>Izvještajni period:</v>
      </c>
      <c r="D7" s="86" t="str">
        <f ca="1">Objasnjenja_Dan</f>
        <v>Dan</v>
      </c>
      <c r="E7" s="86"/>
      <c r="F7" s="86"/>
      <c r="G7" s="86" t="str">
        <f ca="1">Objasnjenja_Mjesec</f>
        <v>Mjesec</v>
      </c>
      <c r="H7" s="86"/>
      <c r="I7" s="86"/>
      <c r="J7" s="86" t="str">
        <f ca="1">Objasnjenja_Godina</f>
        <v>Godina</v>
      </c>
      <c r="K7" s="86"/>
      <c r="L7" s="86"/>
      <c r="M7" s="86"/>
    </row>
    <row r="8" spans="2:31" ht="15" customHeight="1">
      <c r="B8" s="85" t="str">
        <f ca="1">Osnovno_Pocetak_perioda</f>
        <v>Početak izvještajnog perioda:</v>
      </c>
      <c r="D8" s="542">
        <v>1</v>
      </c>
      <c r="E8" s="542"/>
      <c r="F8" s="44"/>
      <c r="G8" s="542">
        <v>1</v>
      </c>
      <c r="H8" s="542"/>
      <c r="I8" s="44"/>
      <c r="J8" s="533">
        <v>2022</v>
      </c>
      <c r="K8" s="534"/>
      <c r="L8" s="535"/>
      <c r="M8"/>
      <c r="N8"/>
      <c r="O8"/>
      <c r="P8"/>
      <c r="Y8" s="14" t="b">
        <f ca="1">AND( Period_Pocetak_Dan &lt;&gt; "", Period_Pocetak_Mjesec &lt;&gt; "", Godina &lt;&gt; "")</f>
        <v>1</v>
      </c>
      <c r="Z8" s="141" t="b">
        <f ca="1">IF( Y8, TEXT( DATE( Godina, Period_Pocetak_Mjesec, Period_Pocetak_Dan), "dd.mm.yyyy" ) = TEXT( Period_Pocetak_Dan, "00") &amp; "." &amp; TEXT( Period_Pocetak_Mjesec, "00") &amp;"." &amp; CONCATENATE( Godina), FALSE)</f>
        <v>1</v>
      </c>
      <c r="AA8" s="14" t="str">
        <f ca="1">TEXT( DATE( Godina, Period_Pocetak_Mjesec, Period_Pocetak_Dan), "dd.mm.yyyy.")</f>
        <v>01.01.2022.</v>
      </c>
      <c r="AB8" s="92" t="str">
        <f ca="1">IF(Y8, IF( Z8, AA8, Kontrola_Neispravno), Kontrola_Obavezno)</f>
        <v>01.01.2022.</v>
      </c>
    </row>
    <row r="9" spans="2:31" ht="4.5" customHeight="1">
      <c r="B9" s="85"/>
      <c r="J9" s="536"/>
      <c r="K9" s="537"/>
      <c r="L9" s="538"/>
      <c r="Y9" s="14"/>
      <c r="Z9" s="14"/>
      <c r="AA9" s="96"/>
      <c r="AB9" s="93"/>
    </row>
    <row r="10" spans="2:31" ht="15.75" customHeight="1" thickBot="1">
      <c r="B10" s="85" t="str">
        <f ca="1">Osnovno_Kraj_perioda</f>
        <v>Kraj izvještajnog perioda:</v>
      </c>
      <c r="D10" s="543">
        <v>30</v>
      </c>
      <c r="E10" s="544"/>
      <c r="F10" s="44"/>
      <c r="G10" s="543">
        <v>6</v>
      </c>
      <c r="H10" s="544"/>
      <c r="I10" s="44"/>
      <c r="J10" s="539"/>
      <c r="K10" s="540"/>
      <c r="L10" s="541"/>
      <c r="M10"/>
      <c r="Y10" s="14" t="b">
        <f ca="1">AND( Period_Kraj_Dan &lt;&gt; "", Period_Kraj_Mjesec &lt;&gt; "", Godina &lt;&gt; "")</f>
        <v>1</v>
      </c>
      <c r="Z10" s="44" t="b">
        <f ca="1">IF( Y10, TEXT( DATE( Godina, Period_Kraj_Mjesec, Period_Kraj_Dan), "dd.mm.yyyy" ) = TEXT( Period_Kraj_Dan, "00") &amp; "." &amp; TEXT( Period_Kraj_Mjesec, "00") &amp;"." &amp; CONCATENATE( Godina), FALSE)</f>
        <v>1</v>
      </c>
      <c r="AA10" s="86" t="str">
        <f ca="1">TEXT( DATE( Godina, Period_Kraj_Mjesec, Period_Kraj_Dan), "dd.mm.yyyy.")</f>
        <v>30.06.2022.</v>
      </c>
      <c r="AB10" s="92" t="str">
        <f ca="1">IF(Y10, IF( Z10, AA10, Kontrola_Neispravno), Kontrola_Obavezno)</f>
        <v>30.06.2022.</v>
      </c>
      <c r="AD10"/>
      <c r="AE10"/>
    </row>
    <row r="11" spans="2:31" ht="4.5" customHeight="1">
      <c r="B11" s="85"/>
      <c r="D11"/>
      <c r="E11"/>
      <c r="F11"/>
      <c r="G11"/>
      <c r="H11"/>
      <c r="I11"/>
      <c r="J11"/>
      <c r="K11"/>
      <c r="L11"/>
      <c r="M11"/>
      <c r="Y11" s="14"/>
      <c r="Z11" s="44"/>
      <c r="AA11" s="86"/>
      <c r="AB11" s="93"/>
    </row>
    <row r="12" spans="2:31" ht="15" customHeight="1">
      <c r="B12" s="85" t="str">
        <f ca="1">Osnovno_Vrsta_izvjestaja</f>
        <v>Vrsta izvještaja:</v>
      </c>
      <c r="D12" s="165" t="str">
        <f ca="1">IF( AND( DATE( Godina, Period_Pocetak_Mjesec, Period_Pocetak_Dan) = DATE( Godina, 1, 1), NOT( ISNA( VLOOKUP( Datum_Broj,Podesavanja!$H$3:$L$6, 2, 0)))), VLOOKUP( Datum_Broj,Podesavanja!$H$3:$L$6, 3, 0), Vrsta_izvjestaja_Specificni)</f>
        <v>Polugodišnji</v>
      </c>
      <c r="E12" s="165"/>
      <c r="F12" s="165"/>
      <c r="G12" s="165"/>
      <c r="H12" s="165"/>
      <c r="I12" s="165"/>
      <c r="J12" s="165"/>
      <c r="K12" s="165"/>
      <c r="L12" s="165"/>
      <c r="M12"/>
      <c r="N12"/>
      <c r="O12"/>
      <c r="P12"/>
      <c r="Q12"/>
      <c r="R12"/>
      <c r="S12"/>
      <c r="T12"/>
      <c r="U12"/>
      <c r="V12"/>
      <c r="Y12" s="14"/>
      <c r="Z12" s="14"/>
      <c r="AA12" s="86"/>
      <c r="AB12" s="92" t="str">
        <f>D12</f>
        <v>Polugodišnji</v>
      </c>
    </row>
    <row r="13" spans="2:31" ht="13.5" customHeight="1">
      <c r="B13" s="49"/>
      <c r="M13"/>
      <c r="N13"/>
      <c r="O13"/>
      <c r="P13"/>
      <c r="Q13"/>
      <c r="R13"/>
      <c r="S13"/>
      <c r="T13"/>
      <c r="U13"/>
      <c r="V13"/>
      <c r="Y13" s="14"/>
      <c r="Z13" s="14"/>
      <c r="AA13" s="96"/>
      <c r="AB13" s="93"/>
    </row>
    <row r="14" spans="2:31" ht="15.75" customHeight="1">
      <c r="B14" s="100" t="str">
        <f ca="1">Objasnjenja_Zaglavlje</f>
        <v>Podaci u zaglavlju:</v>
      </c>
      <c r="Y14" s="14"/>
      <c r="Z14" s="14"/>
      <c r="AA14" s="96"/>
      <c r="AB14" s="93"/>
    </row>
    <row r="15" spans="2:31" ht="15" customHeight="1">
      <c r="B15" s="85" t="str">
        <f ca="1">Zaglavlje_MB</f>
        <v>Matični broj</v>
      </c>
      <c r="D15" s="83">
        <v>0</v>
      </c>
      <c r="E15" s="83">
        <v>1</v>
      </c>
      <c r="F15" s="83">
        <v>1</v>
      </c>
      <c r="G15" s="83">
        <v>1</v>
      </c>
      <c r="H15" s="83">
        <v>1</v>
      </c>
      <c r="I15" s="83">
        <v>3</v>
      </c>
      <c r="J15" s="83">
        <v>2</v>
      </c>
      <c r="K15" s="83">
        <v>9</v>
      </c>
      <c r="Y15" s="14" t="b">
        <f>LEN(AA15) &gt;= 7</f>
        <v>1</v>
      </c>
      <c r="Z15" s="14" t="b">
        <v>1</v>
      </c>
      <c r="AA15" s="96" t="str">
        <f>CONCATENATE( D15, E15, F15, G15, H15, I15, J15, K15)</f>
        <v>01111329</v>
      </c>
      <c r="AB15" s="92" t="str">
        <f ca="1">IF(Y15, IF( Z15, AA15, Kontrola_Neispravno), Kontrola_Obavezno)</f>
        <v>01111329</v>
      </c>
    </row>
    <row r="16" spans="2:31" ht="4.5" customHeight="1">
      <c r="B16" s="85"/>
      <c r="Y16" s="14"/>
      <c r="Z16" s="14"/>
      <c r="AA16" s="96"/>
      <c r="AB16" s="93"/>
    </row>
    <row r="17" spans="2:31" ht="15" customHeight="1">
      <c r="B17" s="85" t="str">
        <f ca="1">Zaglavlje_Sifra_djelatnosti</f>
        <v>Šifra djelatnosti</v>
      </c>
      <c r="D17" s="83">
        <v>0</v>
      </c>
      <c r="E17" s="83">
        <v>7</v>
      </c>
      <c r="F17" s="87" t="s">
        <v>1699</v>
      </c>
      <c r="G17" s="83">
        <v>1</v>
      </c>
      <c r="H17" s="83">
        <v>0</v>
      </c>
      <c r="I17" s="91"/>
      <c r="Y17" s="14" t="b">
        <f>AND( D17 &lt;&gt; "", LEN( AA17) &gt;= 5)</f>
        <v>1</v>
      </c>
      <c r="Z17" s="14" t="b">
        <v>1</v>
      </c>
      <c r="AA17" s="96" t="str">
        <f>CONCATENATE( D17, E17, F17, G17, H17, I17)</f>
        <v>07.10</v>
      </c>
      <c r="AB17" s="92" t="str">
        <f ca="1">IF(Y17, IF( Z17, AA17, Kontrola_Neispravno), Kontrola_Obavezno)</f>
        <v>07.10</v>
      </c>
      <c r="AE17" s="88"/>
    </row>
    <row r="18" spans="2:31" ht="4.5" customHeight="1">
      <c r="B18" s="85"/>
      <c r="Y18" s="14"/>
      <c r="Z18" s="14"/>
      <c r="AA18" s="96"/>
      <c r="AB18" s="93"/>
    </row>
    <row r="19" spans="2:31" ht="12.75" customHeight="1">
      <c r="B19" s="545" t="str">
        <f ca="1">Zaglavlje_Naziv_preduzeca</f>
        <v xml:space="preserve">Naziv privrednog društva, zadruge, drugog pravnog lica ili preduzetnika: </v>
      </c>
      <c r="Y19" s="14"/>
      <c r="Z19" s="14"/>
      <c r="AA19" s="96"/>
      <c r="AB19" s="93"/>
    </row>
    <row r="20" spans="2:31" ht="22.5" customHeight="1">
      <c r="B20" s="545"/>
      <c r="D20" s="546" t="s">
        <v>23</v>
      </c>
      <c r="E20" s="546"/>
      <c r="F20" s="546"/>
      <c r="G20" s="546"/>
      <c r="H20" s="546"/>
      <c r="I20" s="546"/>
      <c r="J20" s="546"/>
      <c r="K20" s="546"/>
      <c r="L20" s="546"/>
      <c r="M20" s="546"/>
      <c r="N20" s="546"/>
      <c r="O20" s="546"/>
      <c r="P20" s="546"/>
      <c r="Q20" s="546"/>
      <c r="R20" s="546"/>
      <c r="S20" s="546"/>
      <c r="T20" s="546"/>
      <c r="U20" s="546"/>
      <c r="V20" s="546"/>
      <c r="Y20" s="14" t="b">
        <f>LEN(AA20) &gt; 0</f>
        <v>1</v>
      </c>
      <c r="Z20" s="14" t="b">
        <v>1</v>
      </c>
      <c r="AA20" s="96" t="str">
        <f>CONCATENATE( D20)</f>
        <v>RUDNICI ŽELJEZNE RUDE LJUBIJA AD PRIJEDOR</v>
      </c>
      <c r="AB20" s="94" t="str">
        <f ca="1">IF(Y20, IF( Z20, AA20, Kontrola_Neispravno), Kontrola_Obavezno)</f>
        <v>RUDNICI ŽELJEZNE RUDE LJUBIJA AD PRIJEDOR</v>
      </c>
    </row>
    <row r="21" spans="2:31" ht="8.25" customHeight="1">
      <c r="B21" s="85"/>
      <c r="D21" s="2"/>
      <c r="E21" s="2"/>
      <c r="F21" s="2"/>
      <c r="G21" s="2"/>
      <c r="H21" s="2"/>
      <c r="I21" s="2"/>
      <c r="J21" s="2"/>
      <c r="K21" s="2"/>
      <c r="L21" s="2"/>
      <c r="M21" s="2"/>
      <c r="N21" s="2"/>
      <c r="O21" s="2"/>
      <c r="P21" s="2"/>
      <c r="Q21" s="2"/>
      <c r="R21" s="2"/>
      <c r="S21" s="2"/>
      <c r="T21" s="2"/>
      <c r="U21" s="2"/>
      <c r="V21" s="2"/>
      <c r="Y21" s="14"/>
      <c r="Z21" s="14"/>
      <c r="AA21" s="96"/>
      <c r="AB21" s="93"/>
    </row>
    <row r="22" spans="2:31" ht="15" customHeight="1">
      <c r="B22" s="85" t="str">
        <f ca="1">Zaglavlje_Sjediste</f>
        <v>Sjedište:</v>
      </c>
      <c r="D22" s="554" t="s">
        <v>24</v>
      </c>
      <c r="E22" s="555"/>
      <c r="F22" s="555"/>
      <c r="G22" s="555"/>
      <c r="H22" s="555"/>
      <c r="I22" s="555"/>
      <c r="J22" s="555"/>
      <c r="K22" s="555"/>
      <c r="L22" s="555"/>
      <c r="M22" s="555"/>
      <c r="N22" s="555"/>
      <c r="O22" s="555"/>
      <c r="P22" s="555"/>
      <c r="Q22" s="555"/>
      <c r="R22" s="555"/>
      <c r="S22" s="555"/>
      <c r="T22" s="555"/>
      <c r="U22" s="555"/>
      <c r="V22" s="555"/>
      <c r="Y22" s="14" t="b">
        <f>LEN(AA22) &gt; 0</f>
        <v>1</v>
      </c>
      <c r="Z22" s="14" t="b">
        <v>1</v>
      </c>
      <c r="AA22" s="96" t="str">
        <f>CONCATENATE( D22)</f>
        <v>PRIJEDOR</v>
      </c>
      <c r="AB22" s="92" t="str">
        <f ca="1">IF(Y22, IF( Z22, AA22, Kontrola_Neispravno), Kontrola_Obavezno)</f>
        <v>PRIJEDOR</v>
      </c>
    </row>
    <row r="23" spans="2:31" ht="6.75" customHeight="1">
      <c r="B23" s="85"/>
      <c r="Y23" s="14"/>
      <c r="Z23" s="14"/>
      <c r="AA23" s="96"/>
      <c r="AB23" s="93"/>
    </row>
    <row r="24" spans="2:31" ht="15" customHeight="1">
      <c r="B24" s="85" t="str">
        <f ca="1">Zaglavlje_JIB</f>
        <v>JIB</v>
      </c>
      <c r="D24" s="505">
        <v>4</v>
      </c>
      <c r="E24" s="506">
        <v>4</v>
      </c>
      <c r="F24" s="507">
        <v>0</v>
      </c>
      <c r="G24" s="505">
        <v>0</v>
      </c>
      <c r="H24" s="506">
        <v>6</v>
      </c>
      <c r="I24" s="507">
        <v>9</v>
      </c>
      <c r="J24" s="505">
        <v>2</v>
      </c>
      <c r="K24" s="506">
        <v>3</v>
      </c>
      <c r="L24" s="507">
        <v>2</v>
      </c>
      <c r="M24" s="506">
        <v>0</v>
      </c>
      <c r="N24" s="507">
        <v>0</v>
      </c>
      <c r="O24" s="506">
        <v>0</v>
      </c>
      <c r="P24" s="507">
        <v>2</v>
      </c>
      <c r="Q24" s="44"/>
      <c r="R24" s="44"/>
      <c r="S24" s="44"/>
      <c r="T24" s="44"/>
      <c r="U24" s="44"/>
      <c r="V24" s="44"/>
      <c r="Y24" s="14" t="b">
        <f>LEN(AA24) = 13</f>
        <v>1</v>
      </c>
      <c r="Z24" s="208"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4400692320002</v>
      </c>
      <c r="AB24" s="92" t="str">
        <f ca="1">IF(Y24, IF( Z24, AA24, Kontrola_Neispravno), Kontrola_Obavezno)</f>
        <v>4400692320002</v>
      </c>
    </row>
    <row r="25" spans="2:31" ht="15" customHeight="1">
      <c r="B25" s="85"/>
      <c r="D25" s="2"/>
      <c r="E25" s="2"/>
      <c r="F25" s="2"/>
      <c r="G25" s="2"/>
      <c r="H25" s="2"/>
      <c r="I25" s="2"/>
      <c r="J25" s="2"/>
      <c r="K25" s="2"/>
      <c r="L25" s="2"/>
      <c r="M25" s="2"/>
      <c r="N25" s="2"/>
      <c r="O25" s="2"/>
      <c r="P25" s="2"/>
      <c r="Q25" s="2"/>
      <c r="R25" s="2"/>
      <c r="S25" s="2"/>
      <c r="T25" s="2"/>
      <c r="U25" s="2"/>
      <c r="V25" s="2"/>
      <c r="Y25" s="14"/>
      <c r="Z25" s="14"/>
      <c r="AA25" s="96"/>
      <c r="AB25" s="93"/>
    </row>
    <row r="26" spans="2:31" ht="15" customHeight="1">
      <c r="B26" s="117" t="str">
        <f ca="1">Objasnjenja_Bankovni_racun</f>
        <v>Računi u banci:</v>
      </c>
      <c r="Y26" s="14"/>
      <c r="Z26" s="14"/>
      <c r="AA26" s="96"/>
      <c r="AB26" s="93"/>
    </row>
    <row r="27" spans="2:31" ht="15" customHeight="1">
      <c r="B27" s="85" t="str">
        <f ca="1">Objasnjenja_Glavni_racun</f>
        <v>Glavni račun:</v>
      </c>
      <c r="D27" s="83">
        <v>5</v>
      </c>
      <c r="E27" s="83">
        <v>5</v>
      </c>
      <c r="F27" s="83">
        <v>5</v>
      </c>
      <c r="G27" s="84" t="s">
        <v>1698</v>
      </c>
      <c r="H27" s="83">
        <v>1</v>
      </c>
      <c r="I27" s="83">
        <v>0</v>
      </c>
      <c r="J27" s="83">
        <v>0</v>
      </c>
      <c r="K27" s="84" t="s">
        <v>1698</v>
      </c>
      <c r="L27" s="83">
        <v>0</v>
      </c>
      <c r="M27" s="83">
        <v>0</v>
      </c>
      <c r="N27" s="83">
        <v>1</v>
      </c>
      <c r="O27" s="83">
        <v>6</v>
      </c>
      <c r="P27" s="83">
        <v>0</v>
      </c>
      <c r="Q27" s="83">
        <v>1</v>
      </c>
      <c r="R27" s="83">
        <v>5</v>
      </c>
      <c r="S27" s="83">
        <v>8</v>
      </c>
      <c r="T27" s="44" t="s">
        <v>1698</v>
      </c>
      <c r="U27" s="83">
        <v>3</v>
      </c>
      <c r="V27" s="83">
        <v>2</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5551000016015832</v>
      </c>
      <c r="AB27" s="92" t="str">
        <f ca="1">IF(Y27, IF( Z27, CONCATENATE( D27, E27, F27, G27, H27, I27, J27, K27, L27, M27, N27, O27, P27, Q27, R27, S27, T27, U27, V27), Kontrola_Neispravno), Kontrola_Obavezno)</f>
        <v>555-100-00160158-32</v>
      </c>
    </row>
    <row r="28" spans="2:31" ht="4.5" customHeight="1">
      <c r="B28" s="85"/>
      <c r="D28" s="2"/>
      <c r="E28" s="2"/>
      <c r="F28" s="2"/>
      <c r="G28" s="2"/>
      <c r="H28" s="2"/>
      <c r="I28" s="2"/>
      <c r="J28" s="2"/>
      <c r="K28" s="2"/>
      <c r="L28" s="2"/>
      <c r="M28" s="2"/>
      <c r="N28" s="2"/>
      <c r="O28" s="2"/>
      <c r="P28" s="2"/>
      <c r="Q28" s="2"/>
      <c r="R28" s="2"/>
      <c r="S28" s="2"/>
      <c r="T28" s="2"/>
      <c r="U28" s="2"/>
      <c r="V28" s="2"/>
      <c r="Y28" s="14"/>
      <c r="Z28" s="14"/>
      <c r="AA28" s="96"/>
      <c r="AB28" s="93"/>
    </row>
    <row r="29" spans="2:31" ht="15" customHeight="1">
      <c r="B29" s="85"/>
      <c r="D29" s="83"/>
      <c r="E29" s="83"/>
      <c r="F29" s="83"/>
      <c r="G29" s="84" t="s">
        <v>1698</v>
      </c>
      <c r="H29" s="83"/>
      <c r="I29" s="83"/>
      <c r="J29" s="83"/>
      <c r="K29" s="84" t="s">
        <v>1698</v>
      </c>
      <c r="L29" s="83"/>
      <c r="M29" s="83"/>
      <c r="N29" s="83"/>
      <c r="O29" s="83"/>
      <c r="P29" s="83"/>
      <c r="Q29" s="83"/>
      <c r="R29" s="83"/>
      <c r="S29" s="83"/>
      <c r="T29" s="44" t="s">
        <v>1698</v>
      </c>
      <c r="U29" s="83"/>
      <c r="V29" s="83"/>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
      </c>
      <c r="AB29" s="92" t="str">
        <f ca="1">IF( LEN(AA29) = 0, "", IF( AND( LEN(AA29) = 16, Z29), CONCATENATE( D29, E29, F29, G29, H29, I29, J29, K29, L29, M29, N29, O29, P29, Q29, R29, S29, T29, U29, V29), Kontrola_Neispravno))</f>
        <v/>
      </c>
    </row>
    <row r="30" spans="2:31" ht="4.5" customHeight="1">
      <c r="B30" s="85"/>
      <c r="Y30" s="14"/>
      <c r="Z30" s="14"/>
      <c r="AA30" s="96"/>
      <c r="AB30" s="93"/>
    </row>
    <row r="31" spans="2:31" ht="15" customHeight="1">
      <c r="B31" s="85"/>
      <c r="D31" s="83"/>
      <c r="E31" s="83"/>
      <c r="F31" s="83"/>
      <c r="G31" s="84" t="s">
        <v>1698</v>
      </c>
      <c r="H31" s="83"/>
      <c r="I31" s="83"/>
      <c r="J31" s="83"/>
      <c r="K31" s="84" t="s">
        <v>1698</v>
      </c>
      <c r="L31" s="83"/>
      <c r="M31" s="83"/>
      <c r="N31" s="83"/>
      <c r="O31" s="83"/>
      <c r="P31" s="83"/>
      <c r="Q31" s="83"/>
      <c r="R31" s="83"/>
      <c r="S31" s="83"/>
      <c r="T31" s="44" t="s">
        <v>1698</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 ca="1">IF( LEN(AA31) = 0, "", IF( AND( LEN(AA31) = 16, Z31), CONCATENATE( D31, E31, F31, G31, H31, I31, J31, K31, L31, M31, N31, O31, P31, Q31, R31, S31, T31, U31, V31), Kontrola_Neispravno))</f>
        <v/>
      </c>
    </row>
    <row r="32" spans="2:31" ht="4.5" customHeight="1">
      <c r="B32" s="85"/>
      <c r="Y32" s="14"/>
      <c r="Z32" s="14"/>
      <c r="AA32" s="96"/>
      <c r="AB32" s="93"/>
    </row>
    <row r="33" spans="2:28" ht="15" customHeight="1">
      <c r="B33" s="85"/>
      <c r="D33" s="83"/>
      <c r="E33" s="83"/>
      <c r="F33" s="83"/>
      <c r="G33" s="84" t="s">
        <v>1698</v>
      </c>
      <c r="H33" s="83"/>
      <c r="I33" s="83"/>
      <c r="J33" s="83"/>
      <c r="K33" s="84" t="s">
        <v>1698</v>
      </c>
      <c r="L33" s="83"/>
      <c r="M33" s="83"/>
      <c r="N33" s="83"/>
      <c r="O33" s="83"/>
      <c r="P33" s="83"/>
      <c r="Q33" s="83"/>
      <c r="R33" s="83"/>
      <c r="S33" s="83"/>
      <c r="T33" s="44" t="s">
        <v>1698</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 ca="1">IF( LEN(AA33) = 0, "", IF( AND( LEN(AA33) = 16, Z33), CONCATENATE( D33, E33, F33, G33, H33, I33, J33, K33, L33, M33, N33, O33, P33, Q33, R33, S33, T33, U33, V33), Kontrola_Neispravno))</f>
        <v/>
      </c>
    </row>
    <row r="34" spans="2:28" ht="4.5" customHeight="1">
      <c r="B34" s="85"/>
      <c r="Y34" s="14"/>
      <c r="Z34" s="14"/>
      <c r="AA34" s="96"/>
      <c r="AB34" s="93"/>
    </row>
    <row r="35" spans="2:28" ht="15" customHeight="1">
      <c r="B35" s="85"/>
      <c r="D35" s="83"/>
      <c r="E35" s="83"/>
      <c r="F35" s="83"/>
      <c r="G35" s="84" t="s">
        <v>1698</v>
      </c>
      <c r="H35" s="83"/>
      <c r="I35" s="83"/>
      <c r="J35" s="83"/>
      <c r="K35" s="84" t="s">
        <v>1698</v>
      </c>
      <c r="L35" s="83"/>
      <c r="M35" s="83"/>
      <c r="N35" s="83"/>
      <c r="O35" s="83"/>
      <c r="P35" s="83"/>
      <c r="Q35" s="83"/>
      <c r="R35" s="83"/>
      <c r="S35" s="83"/>
      <c r="T35" s="44" t="s">
        <v>1698</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 ca="1">IF( LEN(AA35) = 0, "", IF( AND( LEN(AA35) = 16, Z35), CONCATENATE( D35, E35, F35, G35, H35, I35, J35, K35, L35, M35, N35, O35, P35, Q35, R35, S35, T35, U35, V35), Kontrola_Neispravno))</f>
        <v/>
      </c>
    </row>
    <row r="36" spans="2:28" ht="4.5" customHeight="1">
      <c r="B36" s="85"/>
      <c r="Y36" s="14"/>
      <c r="Z36" s="14"/>
      <c r="AA36" s="96"/>
      <c r="AB36" s="93"/>
    </row>
    <row r="37" spans="2:28" ht="15" customHeight="1">
      <c r="B37" s="85"/>
      <c r="D37" s="83"/>
      <c r="E37" s="83"/>
      <c r="F37" s="83"/>
      <c r="G37" s="84" t="s">
        <v>1698</v>
      </c>
      <c r="H37" s="83"/>
      <c r="I37" s="83"/>
      <c r="J37" s="83"/>
      <c r="K37" s="84" t="s">
        <v>1698</v>
      </c>
      <c r="L37" s="83"/>
      <c r="M37" s="83"/>
      <c r="N37" s="83"/>
      <c r="O37" s="83"/>
      <c r="P37" s="83"/>
      <c r="Q37" s="83"/>
      <c r="R37" s="83"/>
      <c r="S37" s="83"/>
      <c r="T37" s="44" t="s">
        <v>1698</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 ca="1">IF( LEN(AA37) = 0, "", IF( AND( LEN(AA37) = 16, Z37), CONCATENATE( D37, E37, F37, G37, H37, I37, J37, K37, L37, M37, N37, O37, P37, Q37, R37, S37, T37, U37, V37), Kontrola_Neispravno))</f>
        <v/>
      </c>
    </row>
    <row r="38" spans="2:28" ht="15" customHeight="1">
      <c r="B38" s="85"/>
      <c r="Y38" s="14"/>
      <c r="Z38" s="14"/>
      <c r="AA38" s="96"/>
      <c r="AB38" s="93"/>
    </row>
    <row r="39" spans="2:28" ht="15.75" customHeight="1">
      <c r="B39" s="100" t="str">
        <f ca="1">Objasnjenja_Podnozje</f>
        <v>Podaci ispod izvještaja:</v>
      </c>
      <c r="Y39" s="14"/>
      <c r="Z39" s="14"/>
      <c r="AA39" s="96"/>
      <c r="AB39" s="93"/>
    </row>
    <row r="40" spans="2:28" ht="15" customHeight="1">
      <c r="B40" s="85" t="str">
        <f ca="1">Podnozje_U</f>
        <v>U:</v>
      </c>
      <c r="D40" s="552" t="s">
        <v>627</v>
      </c>
      <c r="E40" s="548"/>
      <c r="F40" s="548"/>
      <c r="G40" s="548"/>
      <c r="H40" s="548"/>
      <c r="I40" s="548"/>
      <c r="J40" s="548"/>
      <c r="K40" s="548"/>
      <c r="L40" s="548"/>
      <c r="M40" s="548"/>
      <c r="N40" s="548"/>
      <c r="O40" s="548"/>
      <c r="P40" s="548"/>
      <c r="Q40" s="548"/>
      <c r="R40" s="548"/>
      <c r="S40" s="548"/>
      <c r="T40" s="548"/>
      <c r="U40" s="548"/>
      <c r="V40" s="548"/>
      <c r="Y40" s="14" t="b">
        <f>LEN(AA40) &gt; 0</f>
        <v>1</v>
      </c>
      <c r="Z40" s="14" t="b">
        <v>1</v>
      </c>
      <c r="AA40" s="96" t="str">
        <f>CONCATENATE( D40)</f>
        <v>Prijedoru</v>
      </c>
      <c r="AB40" s="94" t="str">
        <f ca="1">IF(Y40, IF( Z40, AA40, Kontrola_Neispravno), Kontrola_Obavezno)</f>
        <v>Prijedoru</v>
      </c>
    </row>
    <row r="41" spans="2:28" ht="4.5" customHeight="1">
      <c r="B41" s="85"/>
      <c r="D41"/>
      <c r="E41"/>
      <c r="F41"/>
      <c r="G41"/>
      <c r="H41"/>
      <c r="I41"/>
      <c r="J41"/>
      <c r="K41"/>
      <c r="L41"/>
      <c r="M41"/>
      <c r="N41"/>
      <c r="O41"/>
      <c r="P41"/>
      <c r="Q41"/>
      <c r="R41"/>
      <c r="S41"/>
      <c r="T41"/>
      <c r="U41"/>
      <c r="V41"/>
      <c r="Y41" s="14"/>
      <c r="Z41" s="14"/>
      <c r="AA41" s="96"/>
      <c r="AB41" s="93"/>
    </row>
    <row r="42" spans="2:28" ht="15" customHeight="1">
      <c r="B42" s="49"/>
      <c r="D42" s="86" t="str">
        <f ca="1">Objasnjenja_Dan</f>
        <v>Dan</v>
      </c>
      <c r="E42" s="86"/>
      <c r="F42" s="86"/>
      <c r="G42" s="86" t="str">
        <f ca="1">Objasnjenja_Mjesec</f>
        <v>Mjesec</v>
      </c>
      <c r="H42" s="86"/>
      <c r="I42" s="86"/>
      <c r="J42" s="86" t="str">
        <f ca="1">Objasnjenja_Godina</f>
        <v>Godina</v>
      </c>
      <c r="K42" s="86"/>
      <c r="L42" s="86"/>
      <c r="M42" s="86"/>
      <c r="Y42" s="14"/>
      <c r="Z42" s="14"/>
      <c r="AA42" s="96"/>
      <c r="AB42" s="93"/>
    </row>
    <row r="43" spans="2:28" ht="15" customHeight="1">
      <c r="B43" s="85" t="str">
        <f ca="1">Podnozje_Dana</f>
        <v>Dana:</v>
      </c>
      <c r="D43" s="550">
        <v>31</v>
      </c>
      <c r="E43" s="551"/>
      <c r="F43" s="44"/>
      <c r="G43" s="550">
        <v>7</v>
      </c>
      <c r="H43" s="551"/>
      <c r="I43" s="44"/>
      <c r="J43" s="550">
        <v>2022</v>
      </c>
      <c r="K43" s="556"/>
      <c r="L43" s="551"/>
      <c r="M43"/>
      <c r="Y43" s="14" t="b">
        <f>AND( D43 &lt;&gt; "", G43 &lt;&gt; "", J43 &lt;&gt; "")</f>
        <v>1</v>
      </c>
      <c r="Z43" s="44" t="b">
        <f>IF( Y43, TEXT( DATE( J43, G43, D43), "dd.mm.yyyy" ) = TEXT( D43, "00") &amp; "." &amp; TEXT( G43, "00") &amp;"." &amp; CONCATENATE( J43), FALSE)</f>
        <v>1</v>
      </c>
      <c r="AA43" s="86" t="str">
        <f>IF( OR( Y43, Z43), TEXT( DATE( J43, G43, D43), "dd.mm.yyyy."), "")</f>
        <v>31.07.2022.</v>
      </c>
      <c r="AB43" s="94" t="str">
        <f ca="1">IF(Y43, IF( Z43, AA43, Kontrola_Neispravno), Kontrola_Obavezno)</f>
        <v>31.07.2022.</v>
      </c>
    </row>
    <row r="44" spans="2:28" ht="4.5" customHeight="1">
      <c r="B44" s="85"/>
      <c r="D44"/>
      <c r="E44"/>
      <c r="F44"/>
      <c r="G44"/>
      <c r="H44"/>
      <c r="I44"/>
      <c r="J44"/>
      <c r="K44"/>
      <c r="L44"/>
      <c r="M44"/>
      <c r="N44"/>
      <c r="Y44" s="14"/>
      <c r="Z44" s="14"/>
      <c r="AA44" s="96"/>
      <c r="AB44" s="93"/>
    </row>
    <row r="45" spans="2:28" ht="15" customHeight="1">
      <c r="B45" s="85" t="str">
        <f ca="1">Podnozje_Lice_sa_licencom</f>
        <v>Lice sa licencom:</v>
      </c>
      <c r="D45" s="547" t="s">
        <v>628</v>
      </c>
      <c r="E45" s="548"/>
      <c r="F45" s="548"/>
      <c r="G45" s="548"/>
      <c r="H45" s="548"/>
      <c r="I45" s="548"/>
      <c r="J45" s="548"/>
      <c r="K45" s="548"/>
      <c r="L45" s="548"/>
      <c r="M45" s="548"/>
      <c r="N45" s="548"/>
      <c r="O45" s="548"/>
      <c r="P45" s="548"/>
      <c r="Q45" s="548"/>
      <c r="R45" s="548"/>
      <c r="S45" s="548"/>
      <c r="T45" s="548"/>
      <c r="U45" s="548"/>
      <c r="V45" s="548"/>
      <c r="Y45" s="14" t="b">
        <f>LEN(AA45) &gt; 0</f>
        <v>1</v>
      </c>
      <c r="Z45" s="14" t="b">
        <v>1</v>
      </c>
      <c r="AA45" s="96" t="str">
        <f>CONCATENATE( D45)</f>
        <v>Petrašin Rodić,dipl.ecc</v>
      </c>
      <c r="AB45" s="94" t="str">
        <f ca="1">IF(Y45, IF( Z45, AA45, Kontrola_Neispravno), Kontrola_Obavezno)</f>
        <v>Petrašin Rodić,dipl.ecc</v>
      </c>
    </row>
    <row r="46" spans="2:28" ht="4.5" customHeight="1">
      <c r="B46" s="85"/>
      <c r="Y46" s="14"/>
      <c r="Z46" s="14"/>
      <c r="AA46" s="96"/>
      <c r="AB46" s="93"/>
    </row>
    <row r="47" spans="2:28" ht="15" customHeight="1">
      <c r="B47" s="85" t="str">
        <f ca="1">Podnozje_Broj_licence</f>
        <v>Broj licence:</v>
      </c>
      <c r="D47" s="547" t="s">
        <v>626</v>
      </c>
      <c r="E47" s="548"/>
      <c r="F47" s="548"/>
      <c r="G47" s="548"/>
      <c r="H47" s="548"/>
      <c r="I47" s="548"/>
      <c r="J47" s="548"/>
      <c r="K47" s="548"/>
      <c r="L47" s="548"/>
      <c r="M47" s="548"/>
      <c r="N47" s="548"/>
      <c r="O47" s="548"/>
      <c r="P47" s="548"/>
      <c r="Q47" s="548"/>
      <c r="R47" s="548"/>
      <c r="S47" s="548"/>
      <c r="T47" s="548"/>
      <c r="U47" s="548"/>
      <c r="V47" s="548"/>
      <c r="Y47" s="14" t="b">
        <f>LEN(AA47) &gt; 0</f>
        <v>1</v>
      </c>
      <c r="Z47" s="14" t="b">
        <v>1</v>
      </c>
      <c r="AA47" s="96" t="str">
        <f>CONCATENATE( D47)</f>
        <v>SR -0054/22</v>
      </c>
      <c r="AB47" s="94" t="str">
        <f ca="1">IF(Y47, IF( Z47, AA47, Kontrola_Neispravno), Kontrola_Obavezno)</f>
        <v>SR -0054/22</v>
      </c>
    </row>
    <row r="48" spans="2:28" ht="4.5" customHeight="1">
      <c r="B48" s="85"/>
      <c r="Y48" s="14"/>
      <c r="Z48" s="14"/>
      <c r="AA48" s="96"/>
      <c r="AB48" s="93"/>
    </row>
    <row r="49" spans="2:28" ht="15" customHeight="1">
      <c r="B49" s="116" t="str">
        <f ca="1">Podnozje_Direktor</f>
        <v>Lice ovlašćeno za zastupanje:</v>
      </c>
      <c r="D49" s="552" t="s">
        <v>629</v>
      </c>
      <c r="E49" s="548"/>
      <c r="F49" s="548"/>
      <c r="G49" s="548"/>
      <c r="H49" s="548"/>
      <c r="I49" s="548"/>
      <c r="J49" s="548"/>
      <c r="K49" s="548"/>
      <c r="L49" s="548"/>
      <c r="M49" s="548"/>
      <c r="N49" s="548"/>
      <c r="O49" s="548"/>
      <c r="P49" s="548"/>
      <c r="Q49" s="548"/>
      <c r="R49" s="548"/>
      <c r="S49" s="548"/>
      <c r="T49" s="548"/>
      <c r="U49" s="548"/>
      <c r="V49" s="548"/>
      <c r="Y49" s="14" t="b">
        <f>LEN(AA49) &gt; 0</f>
        <v>1</v>
      </c>
      <c r="Z49" s="14" t="b">
        <v>1</v>
      </c>
      <c r="AA49" s="96" t="str">
        <f>CONCATENATE( D49)</f>
        <v>Stanko Vujković,dipl.ing.maš.</v>
      </c>
      <c r="AB49" s="94" t="str">
        <f ca="1">IF(Y49, IF( Z49, AA49, Kontrola_Neispravno), Kontrola_Obavezno)</f>
        <v>Stanko Vujković,dipl.ing.maš.</v>
      </c>
    </row>
    <row r="50" spans="2:28" ht="15" customHeight="1">
      <c r="B50" s="49"/>
      <c r="Y50" s="14"/>
      <c r="Z50" s="14"/>
      <c r="AA50" s="96"/>
      <c r="AB50" s="93"/>
    </row>
    <row r="51" spans="2:28" ht="15.75" customHeight="1">
      <c r="B51" s="421" t="str">
        <f t="array" aca="1" ref="B51" ca="1">Objasnjenja_Kontakt</f>
        <v>Kontakt podaci:</v>
      </c>
      <c r="Y51" s="14"/>
      <c r="Z51" s="14"/>
      <c r="AA51" s="96"/>
      <c r="AB51" s="93"/>
    </row>
    <row r="52" spans="2:28" ht="15" customHeight="1">
      <c r="B52" s="85" t="str">
        <f ca="1">Kontakt_Adresa</f>
        <v>Adresa i broj:</v>
      </c>
      <c r="D52" s="553" t="s">
        <v>630</v>
      </c>
      <c r="E52" s="548"/>
      <c r="F52" s="548"/>
      <c r="G52" s="548"/>
      <c r="H52" s="548"/>
      <c r="I52" s="548"/>
      <c r="J52" s="548"/>
      <c r="K52" s="548"/>
      <c r="L52" s="548"/>
      <c r="M52" s="548"/>
      <c r="N52" s="548"/>
      <c r="O52" s="548"/>
      <c r="P52" s="548"/>
      <c r="Q52" s="548"/>
      <c r="R52" s="548"/>
      <c r="S52" s="548"/>
      <c r="T52" s="548"/>
      <c r="U52" s="548"/>
      <c r="V52" s="548"/>
      <c r="Y52" s="14" t="b">
        <f>LEN(AA52) &gt; 0</f>
        <v>1</v>
      </c>
      <c r="Z52" s="14" t="b">
        <v>1</v>
      </c>
      <c r="AA52" s="96" t="str">
        <f>CONCATENATE( D52)</f>
        <v>Jovana Raškovića br. 1. Prijedor</v>
      </c>
      <c r="AB52" s="94" t="str">
        <f ca="1">IF(Y52, IF( Z52, AA52, Kontrola_Neispravno), Kontrola_Obavezno)</f>
        <v>Jovana Raškovića br. 1. Prijedor</v>
      </c>
    </row>
    <row r="53" spans="2:28" ht="4.5" customHeight="1">
      <c r="B53" s="49"/>
      <c r="Y53" s="14"/>
      <c r="Z53" s="14"/>
      <c r="AA53" s="96"/>
      <c r="AB53" s="93"/>
    </row>
    <row r="54" spans="2:28" ht="15" customHeight="1">
      <c r="B54" s="85" t="str">
        <f ca="1">Kontakt_web</f>
        <v>Internet adresa:</v>
      </c>
      <c r="D54" s="547" t="s">
        <v>631</v>
      </c>
      <c r="E54" s="548"/>
      <c r="F54" s="548"/>
      <c r="G54" s="548"/>
      <c r="H54" s="548"/>
      <c r="I54" s="548"/>
      <c r="J54" s="548"/>
      <c r="K54" s="548"/>
      <c r="L54" s="548"/>
      <c r="M54" s="548"/>
      <c r="N54" s="548"/>
      <c r="O54" s="548"/>
      <c r="P54" s="548"/>
      <c r="Q54" s="548"/>
      <c r="R54" s="548"/>
      <c r="S54" s="548"/>
      <c r="T54" s="548"/>
      <c r="U54" s="548"/>
      <c r="V54" s="548"/>
      <c r="Y54" s="14" t="b">
        <f>LEN(AA54) &gt;= 0</f>
        <v>1</v>
      </c>
      <c r="Z54" s="14" t="b">
        <v>1</v>
      </c>
      <c r="AA54" s="96" t="str">
        <f>CONCATENATE( D54)</f>
        <v>www.rzrljubija.com</v>
      </c>
      <c r="AB54" s="94" t="str">
        <f ca="1">IF(Y54, IF( Z54, AA54, Kontrola_Neispravno), Kontrola_Obavezno)</f>
        <v>www.rzrljubija.com</v>
      </c>
    </row>
    <row r="55" spans="2:28" ht="4.5" customHeight="1">
      <c r="B55" s="85"/>
      <c r="D55"/>
      <c r="E55"/>
      <c r="F55"/>
      <c r="G55"/>
      <c r="H55"/>
      <c r="I55"/>
      <c r="J55"/>
      <c r="K55"/>
      <c r="L55"/>
      <c r="M55"/>
      <c r="N55"/>
      <c r="O55"/>
      <c r="P55"/>
      <c r="Q55"/>
      <c r="R55"/>
      <c r="S55"/>
      <c r="T55"/>
      <c r="U55"/>
      <c r="V55"/>
      <c r="Y55" s="14"/>
      <c r="Z55" s="14"/>
      <c r="AA55" s="96"/>
      <c r="AB55" s="93"/>
    </row>
    <row r="56" spans="2:28" ht="15" customHeight="1">
      <c r="B56" s="85" t="str">
        <f ca="1">Kontakt_email</f>
        <v>Adresa e-pošte (email):</v>
      </c>
      <c r="D56" s="547" t="s">
        <v>632</v>
      </c>
      <c r="E56" s="548"/>
      <c r="F56" s="548"/>
      <c r="G56" s="548"/>
      <c r="H56" s="548"/>
      <c r="I56" s="548"/>
      <c r="J56" s="548"/>
      <c r="K56" s="548"/>
      <c r="L56" s="548"/>
      <c r="M56" s="548"/>
      <c r="N56" s="548"/>
      <c r="O56" s="548"/>
      <c r="P56" s="548"/>
      <c r="Q56" s="548"/>
      <c r="R56" s="548"/>
      <c r="S56" s="548"/>
      <c r="T56" s="548"/>
      <c r="U56" s="548"/>
      <c r="V56" s="548"/>
      <c r="Y56" s="14" t="b">
        <f>LEN(AA56) &gt; 0</f>
        <v>1</v>
      </c>
      <c r="Z56" s="14" t="b">
        <v>1</v>
      </c>
      <c r="AA56" s="96" t="str">
        <f>CONCATENATE(D56)</f>
        <v>rzrkont@teol.net</v>
      </c>
      <c r="AB56" s="94" t="str">
        <f ca="1">IF(Y56, IF( Z56, AA56, Kontrola_Neispravno), Kontrola_Obavezno)</f>
        <v>rzrkont@teol.net</v>
      </c>
    </row>
    <row r="57" spans="2:28" ht="4.5" customHeight="1">
      <c r="B57" s="85"/>
      <c r="D57" s="2"/>
      <c r="E57" s="2"/>
      <c r="F57" s="2"/>
      <c r="G57" s="2"/>
      <c r="H57" s="2"/>
      <c r="I57" s="2"/>
      <c r="J57" s="2"/>
      <c r="K57" s="2"/>
      <c r="L57" s="2"/>
      <c r="M57" s="2"/>
      <c r="N57" s="2"/>
      <c r="O57" s="2"/>
      <c r="P57" s="2"/>
      <c r="Q57" s="44"/>
      <c r="R57" s="44"/>
      <c r="S57" s="44"/>
      <c r="T57" s="44"/>
      <c r="U57"/>
      <c r="Y57" s="14"/>
      <c r="Z57" s="14"/>
      <c r="AA57" s="96"/>
      <c r="AB57" s="93"/>
    </row>
    <row r="58" spans="2:28" ht="15" customHeight="1">
      <c r="B58" s="85" t="str">
        <f ca="1">Kontakt_tel</f>
        <v>Telefon:</v>
      </c>
      <c r="D58" s="83">
        <v>0</v>
      </c>
      <c r="E58" s="83">
        <v>5</v>
      </c>
      <c r="F58" s="83">
        <v>2</v>
      </c>
      <c r="G58" s="44" t="s">
        <v>1698</v>
      </c>
      <c r="H58" s="83">
        <v>2</v>
      </c>
      <c r="I58" s="83">
        <v>1</v>
      </c>
      <c r="J58" s="83">
        <v>6</v>
      </c>
      <c r="K58" s="44" t="s">
        <v>1698</v>
      </c>
      <c r="L58" s="83">
        <v>9</v>
      </c>
      <c r="M58" s="83">
        <v>0</v>
      </c>
      <c r="N58" s="83">
        <v>0</v>
      </c>
      <c r="O58" s="44"/>
      <c r="P58" s="44"/>
      <c r="Q58" s="44"/>
      <c r="R58" s="44"/>
      <c r="S58" s="44"/>
      <c r="T58" s="44"/>
      <c r="U58"/>
      <c r="V58"/>
      <c r="Y58" s="14" t="b">
        <f>LEN(AA58) = 11</f>
        <v>1</v>
      </c>
      <c r="Z58" s="14" t="b">
        <v>1</v>
      </c>
      <c r="AA58" s="96" t="str">
        <f>CONCATENATE( D58,E58, F58, G58, H58, I58, J58, K58, L58, M58, N58)</f>
        <v>052-216-900</v>
      </c>
      <c r="AB58" s="94" t="str">
        <f ca="1">IF(Y58, IF( Z58, AA58, Kontrola_Neispravno), Kontrola_Obavezno)</f>
        <v>052-216-900</v>
      </c>
    </row>
    <row r="59" spans="2:28" ht="4.5" customHeight="1">
      <c r="B59" s="49"/>
      <c r="D59"/>
      <c r="E59"/>
      <c r="F59"/>
      <c r="G59"/>
      <c r="H59"/>
      <c r="I59"/>
      <c r="J59"/>
      <c r="K59"/>
      <c r="L59"/>
      <c r="M59"/>
      <c r="N59"/>
      <c r="O59"/>
      <c r="P59" s="44"/>
      <c r="Q59" s="44"/>
      <c r="R59" s="44"/>
      <c r="S59" s="44"/>
      <c r="T59" s="44"/>
      <c r="U59"/>
      <c r="Y59" s="14"/>
      <c r="Z59" s="14"/>
      <c r="AA59" s="96"/>
      <c r="AB59" s="93"/>
    </row>
    <row r="60" spans="2:28" ht="15" customHeight="1">
      <c r="B60" s="85" t="str">
        <f ca="1">Kontakt_fax</f>
        <v>Faks:</v>
      </c>
      <c r="D60" s="83">
        <v>0</v>
      </c>
      <c r="E60" s="83">
        <v>5</v>
      </c>
      <c r="F60" s="83">
        <v>2</v>
      </c>
      <c r="G60" s="44" t="s">
        <v>1698</v>
      </c>
      <c r="H60" s="83">
        <v>2</v>
      </c>
      <c r="I60" s="83">
        <v>3</v>
      </c>
      <c r="J60" s="83">
        <v>3</v>
      </c>
      <c r="K60" s="44" t="s">
        <v>1698</v>
      </c>
      <c r="L60" s="83">
        <v>6</v>
      </c>
      <c r="M60" s="83">
        <v>6</v>
      </c>
      <c r="N60" s="83">
        <v>1</v>
      </c>
      <c r="O60" s="44"/>
      <c r="P60" s="44"/>
      <c r="Y60" s="14" t="b">
        <f>OR( LEN( AA60) = 2, LEN(AA60) = 11)</f>
        <v>1</v>
      </c>
      <c r="Z60" s="14" t="b">
        <v>1</v>
      </c>
      <c r="AA60" s="96" t="str">
        <f>CONCATENATE( D60,E60, F60, G60, H60, I60, J60, K60, L60, M60, N60)</f>
        <v>052-233-661</v>
      </c>
      <c r="AB60" s="94" t="str">
        <f ca="1">IF(Y60, IF( Z60, AA60, Kontrola_Neispravno), Kontrola_Obavezno)</f>
        <v>052-233-661</v>
      </c>
    </row>
    <row r="61" spans="2:28" ht="12.75" customHeight="1">
      <c r="Y61" s="14"/>
      <c r="Z61" s="14"/>
      <c r="AA61" s="96"/>
    </row>
    <row r="62" spans="2:28" ht="15.75" customHeight="1">
      <c r="B62" s="100" t="str">
        <f ca="1">Revizija_Revidiran_izvjestaj</f>
        <v>Revidiran izvještaj:</v>
      </c>
      <c r="D62" s="102"/>
      <c r="E62" s="103"/>
      <c r="Y62" s="209" t="b">
        <v>0</v>
      </c>
      <c r="Z62" s="14"/>
      <c r="AA62" s="96"/>
    </row>
    <row r="63" spans="2:28" ht="4.5" customHeight="1">
      <c r="B63" s="104"/>
      <c r="D63"/>
      <c r="E63"/>
      <c r="Y63" s="210"/>
      <c r="Z63" s="14"/>
      <c r="AA63" s="96"/>
    </row>
    <row r="64" spans="2:28" ht="17.25" customHeight="1">
      <c r="B64" s="85" t="str">
        <f ca="1">IF( Revidiran_izvjestaj, Revizija_Misljenje, "")</f>
        <v/>
      </c>
      <c r="C64" s="9"/>
      <c r="D64"/>
      <c r="E64"/>
      <c r="F64"/>
      <c r="G64"/>
      <c r="H64"/>
      <c r="I64"/>
      <c r="J64"/>
      <c r="K64"/>
      <c r="L64"/>
      <c r="M64"/>
      <c r="N64"/>
      <c r="O64"/>
      <c r="P64" s="9"/>
      <c r="Q64" s="9"/>
      <c r="R64" s="9"/>
      <c r="S64" s="9"/>
      <c r="T64" s="9"/>
      <c r="U64" s="9"/>
      <c r="V64" s="9"/>
      <c r="Y64" s="14" t="b">
        <f ca="1">OR( NOT( Revidiran_izvjestaj), LEN(AA64) &gt; 0)</f>
        <v>1</v>
      </c>
      <c r="Z64" s="14" t="b">
        <v>1</v>
      </c>
      <c r="AA64" s="96" t="str">
        <f ca="1">VLOOKUP( Podesavanja!$E$1, Podesavanja!$E$3:$F$6, 2, 0)</f>
        <v/>
      </c>
      <c r="AB64" s="92" t="str">
        <f ca="1">IF(Y64, IF( Z64, AA64, Kontrola_Neispravno), Kontrola_Obavezno)</f>
        <v/>
      </c>
    </row>
    <row r="65" spans="1:28" ht="4.5" customHeight="1">
      <c r="B65" s="85"/>
      <c r="C65" s="9"/>
      <c r="D65" s="9"/>
      <c r="E65" s="9"/>
      <c r="F65" s="9"/>
      <c r="G65" s="9"/>
      <c r="H65" s="9"/>
      <c r="I65" s="9"/>
      <c r="J65" s="9"/>
      <c r="K65" s="9"/>
      <c r="L65" s="9"/>
      <c r="M65" s="9"/>
      <c r="N65" s="9"/>
      <c r="O65" s="9"/>
      <c r="P65" s="9"/>
      <c r="Q65" s="9"/>
      <c r="R65" s="9"/>
      <c r="S65" s="9"/>
      <c r="T65" s="9"/>
      <c r="U65" s="9"/>
      <c r="V65" s="9"/>
      <c r="Y65" s="14"/>
      <c r="Z65" s="14"/>
      <c r="AA65" s="96"/>
    </row>
    <row r="66" spans="1:28" ht="15" customHeight="1">
      <c r="B66" s="119" t="str">
        <f ca="1">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 customHeight="1">
      <c r="A67" s="9"/>
      <c r="B67" s="85" t="str">
        <f ca="1">IF( Revidiran_izvjestaj, Zaglavlje_MB, "")</f>
        <v/>
      </c>
      <c r="C67" s="9"/>
      <c r="D67" s="83"/>
      <c r="E67" s="83"/>
      <c r="F67" s="83"/>
      <c r="G67" s="83"/>
      <c r="H67" s="83"/>
      <c r="I67" s="83"/>
      <c r="J67" s="83"/>
      <c r="K67" s="83"/>
      <c r="L67" s="9"/>
      <c r="M67" s="9"/>
      <c r="N67" s="9"/>
      <c r="O67" s="9"/>
      <c r="P67" s="9"/>
      <c r="Q67" s="9"/>
      <c r="R67" s="9"/>
      <c r="S67" s="9"/>
      <c r="T67" s="9"/>
      <c r="U67" s="9"/>
      <c r="V67" s="9"/>
      <c r="Y67" s="14" t="b">
        <f ca="1">OR( NOT(Revidiran_izvjestaj), LEN(AA67) &gt;= 7)</f>
        <v>1</v>
      </c>
      <c r="Z67" s="14" t="b">
        <v>1</v>
      </c>
      <c r="AA67" s="96" t="str">
        <f>CONCATENATE( D67, E67, F67, G67, H67, I67, J67, K67)</f>
        <v/>
      </c>
      <c r="AB67" s="92" t="str">
        <f ca="1">IF(Y67, IF( Z67, AA67, Kontrola_Neispravno), Kontrola_Obavezno)</f>
        <v/>
      </c>
    </row>
    <row r="68" spans="1:28" ht="4.5" customHeight="1">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c r="A69" s="9"/>
      <c r="B69" s="545" t="str">
        <f ca="1">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 customHeight="1">
      <c r="A70" s="9"/>
      <c r="B70" s="545"/>
      <c r="C70" s="9"/>
      <c r="D70" s="549"/>
      <c r="E70" s="549"/>
      <c r="F70" s="549"/>
      <c r="G70" s="549"/>
      <c r="H70" s="549"/>
      <c r="I70" s="549"/>
      <c r="J70" s="549"/>
      <c r="K70" s="549"/>
      <c r="L70" s="549"/>
      <c r="M70" s="549"/>
      <c r="N70" s="549"/>
      <c r="O70" s="549"/>
      <c r="P70" s="549"/>
      <c r="Q70" s="549"/>
      <c r="R70" s="549"/>
      <c r="S70" s="549"/>
      <c r="T70" s="549"/>
      <c r="U70" s="549"/>
      <c r="V70" s="549"/>
      <c r="Y70" s="14" t="b">
        <f ca="1">OR( NOT(Revidiran_izvjestaj), LEN(AA70) &gt; 0)</f>
        <v>1</v>
      </c>
      <c r="Z70" s="14" t="b">
        <v>1</v>
      </c>
      <c r="AA70" s="96" t="str">
        <f>CONCATENATE(D70)</f>
        <v/>
      </c>
      <c r="AB70" s="94" t="str">
        <f ca="1">IF(Y70, IF( Z70, AA70, Kontrola_Neispravno), Kontrola_Obavezno)</f>
        <v/>
      </c>
    </row>
    <row r="71" spans="1:28" ht="4.5" customHeight="1">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 customHeight="1">
      <c r="A72" s="9"/>
      <c r="B72" s="85" t="str">
        <f ca="1">IF( Revidiran_izvjestaj, Zaglavlje_Sjediste, "")</f>
        <v/>
      </c>
      <c r="C72" s="9"/>
      <c r="D72" s="549"/>
      <c r="E72" s="549"/>
      <c r="F72" s="549"/>
      <c r="G72" s="549"/>
      <c r="H72" s="549"/>
      <c r="I72" s="549"/>
      <c r="J72" s="549"/>
      <c r="K72" s="549"/>
      <c r="L72" s="549"/>
      <c r="M72" s="549"/>
      <c r="N72" s="549"/>
      <c r="O72" s="549"/>
      <c r="P72" s="549"/>
      <c r="Q72" s="549"/>
      <c r="R72" s="549"/>
      <c r="S72" s="549"/>
      <c r="T72" s="549"/>
      <c r="U72" s="549"/>
      <c r="V72" s="549"/>
      <c r="Y72" s="14" t="b">
        <f ca="1">OR( NOT(Revidiran_izvjestaj), LEN(AA72) &gt; 0)</f>
        <v>1</v>
      </c>
      <c r="Z72" s="14" t="b">
        <v>1</v>
      </c>
      <c r="AA72" s="96" t="str">
        <f>CONCATENATE(D72)</f>
        <v/>
      </c>
      <c r="AB72" s="92" t="str">
        <f ca="1">IF(Y72, IF( Z72, AA72, Kontrola_Neispravno), Kontrola_Obavezno)</f>
        <v/>
      </c>
    </row>
    <row r="73" spans="1:28" ht="4.5" customHeight="1">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 customHeight="1">
      <c r="A74" s="9"/>
      <c r="B74" s="85" t="str">
        <f ca="1">IF( Revidiran_izvjestaj, Zaglavlje_JIB, "")</f>
        <v/>
      </c>
      <c r="C74" s="9"/>
      <c r="D74" s="83"/>
      <c r="E74" s="142"/>
      <c r="F74" s="143"/>
      <c r="G74" s="83"/>
      <c r="H74" s="142"/>
      <c r="I74" s="143"/>
      <c r="J74" s="83"/>
      <c r="K74" s="142"/>
      <c r="L74" s="143"/>
      <c r="M74" s="142"/>
      <c r="N74" s="143"/>
      <c r="O74" s="142"/>
      <c r="P74" s="143"/>
      <c r="Q74" s="84"/>
      <c r="R74" s="84"/>
      <c r="S74" s="84"/>
      <c r="T74" s="84"/>
      <c r="U74" s="84"/>
      <c r="V74" s="84"/>
      <c r="Y74" s="14" t="b">
        <f ca="1">OR( NOT(Revidiran_izvjestaj), LEN(AA74) = 13)</f>
        <v>1</v>
      </c>
      <c r="Z74" s="208" t="b">
        <f ca="1">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 ca="1">IF(Y74, IF( Z74, AA74, Kontrola_Neispravno), Kontrola_Obavezno)</f>
        <v/>
      </c>
    </row>
    <row r="75" spans="1:28" ht="12.75" customHeight="1">
      <c r="A75" s="9"/>
      <c r="B75"/>
      <c r="C75"/>
      <c r="D75"/>
      <c r="E75"/>
      <c r="F75"/>
      <c r="Y75" s="14"/>
      <c r="Z75" s="14"/>
    </row>
    <row r="76" spans="1:28" ht="15.75" customHeight="1">
      <c r="A76" s="9"/>
      <c r="B76" s="100" t="str">
        <f ca="1">Konsolidovani_Konsolidavani_Izvjestaj</f>
        <v>Konsolidovan izvještaj:</v>
      </c>
      <c r="D76" s="102"/>
      <c r="E76" s="103"/>
      <c r="F76"/>
      <c r="Y76" s="99" t="b">
        <v>0</v>
      </c>
      <c r="Z76" s="180"/>
      <c r="AA76" s="180"/>
    </row>
    <row r="77" spans="1:28" ht="4.5" customHeight="1">
      <c r="A77" s="9"/>
      <c r="B77" s="101"/>
    </row>
    <row r="78" spans="1:28" ht="15" customHeight="1">
      <c r="A78" s="9"/>
      <c r="B78" s="118" t="str">
        <f ca="1">IF( Konsolidovan_izvjestaj, Konsolidovani_Konsolidovani &amp; " 1:", "")</f>
        <v/>
      </c>
    </row>
    <row r="79" spans="1:28" ht="15" customHeight="1">
      <c r="A79" s="9"/>
      <c r="B79" s="85" t="str">
        <f ca="1">IF( Konsolidovan_izvjestaj, Zaglavlje_MB, "")</f>
        <v/>
      </c>
      <c r="D79" s="83"/>
      <c r="E79" s="83"/>
      <c r="F79" s="83"/>
      <c r="G79" s="83"/>
      <c r="H79" s="83"/>
      <c r="I79" s="83"/>
      <c r="J79" s="83"/>
      <c r="K79" s="83"/>
      <c r="Y79"/>
      <c r="Z79"/>
      <c r="AA79"/>
    </row>
    <row r="80" spans="1:28" customFormat="1" ht="4.5" customHeight="1">
      <c r="A80" s="78"/>
      <c r="B80" s="78"/>
    </row>
    <row r="81" spans="1:27" ht="12.75" customHeight="1">
      <c r="A81" s="9"/>
      <c r="B81" s="545" t="str">
        <f ca="1">IF( Konsolidovan_izvjestaj, Zaglavlje_Naziv_preduzeca, "")</f>
        <v/>
      </c>
      <c r="Y81"/>
      <c r="Z81"/>
      <c r="AA81"/>
    </row>
    <row r="82" spans="1:27" ht="21" customHeight="1">
      <c r="A82" s="9"/>
      <c r="B82" s="545"/>
      <c r="D82" s="548"/>
      <c r="E82" s="548"/>
      <c r="F82" s="548"/>
      <c r="G82" s="548"/>
      <c r="H82" s="548"/>
      <c r="I82" s="548"/>
      <c r="J82" s="548"/>
      <c r="K82" s="548"/>
      <c r="L82" s="548"/>
      <c r="M82" s="548"/>
      <c r="N82" s="548"/>
      <c r="O82" s="548"/>
      <c r="P82" s="548"/>
      <c r="Q82" s="548"/>
      <c r="R82" s="548"/>
      <c r="S82" s="548"/>
      <c r="T82" s="548"/>
      <c r="U82" s="548"/>
      <c r="V82" s="548"/>
      <c r="Y82"/>
      <c r="Z82"/>
      <c r="AA82"/>
    </row>
    <row r="83" spans="1:27" ht="10.5" customHeight="1">
      <c r="A83" s="9"/>
      <c r="B83" s="85"/>
      <c r="D83" s="2"/>
      <c r="E83" s="2"/>
      <c r="F83" s="2"/>
      <c r="G83" s="2"/>
      <c r="H83" s="2"/>
      <c r="I83" s="2"/>
      <c r="J83" s="2"/>
      <c r="K83" s="2"/>
      <c r="L83" s="2"/>
      <c r="M83" s="2"/>
      <c r="N83" s="2"/>
      <c r="O83" s="2"/>
      <c r="P83" s="2"/>
      <c r="Q83" s="2"/>
      <c r="R83" s="2"/>
      <c r="S83" s="2"/>
      <c r="T83" s="2"/>
      <c r="U83" s="2"/>
      <c r="V83" s="2"/>
      <c r="Y83"/>
      <c r="Z83"/>
      <c r="AA83"/>
    </row>
    <row r="84" spans="1:27" ht="15" customHeight="1">
      <c r="A84" s="9"/>
      <c r="B84" s="85" t="str">
        <f ca="1">IF( Konsolidovan_izvjestaj, Zaglavlje_Sjediste, "")</f>
        <v/>
      </c>
      <c r="D84" s="548"/>
      <c r="E84" s="548"/>
      <c r="F84" s="548"/>
      <c r="G84" s="548"/>
      <c r="H84" s="548"/>
      <c r="I84" s="548"/>
      <c r="J84" s="548"/>
      <c r="K84" s="548"/>
      <c r="L84" s="548"/>
      <c r="M84" s="548"/>
      <c r="N84" s="548"/>
      <c r="O84" s="548"/>
      <c r="P84" s="548"/>
      <c r="Q84" s="548"/>
      <c r="R84" s="548"/>
      <c r="S84" s="548"/>
      <c r="T84" s="548"/>
      <c r="U84" s="548"/>
      <c r="V84" s="548"/>
      <c r="Y84"/>
      <c r="Z84"/>
      <c r="AA84"/>
    </row>
    <row r="85" spans="1:27" ht="4.5" customHeight="1">
      <c r="A85" s="9"/>
      <c r="B85" s="85"/>
      <c r="Y85"/>
      <c r="Z85"/>
      <c r="AA85"/>
    </row>
    <row r="86" spans="1:27" ht="15" customHeight="1">
      <c r="A86" s="9"/>
      <c r="B86" s="85" t="str">
        <f ca="1">IF( Konsolidovan_izvjestaj, Zaglavlje_JIB, "")</f>
        <v/>
      </c>
      <c r="D86" s="83"/>
      <c r="E86" s="142"/>
      <c r="F86" s="143"/>
      <c r="G86" s="83"/>
      <c r="H86" s="142"/>
      <c r="I86" s="143"/>
      <c r="J86" s="83"/>
      <c r="K86" s="142"/>
      <c r="L86" s="143"/>
      <c r="M86" s="142"/>
      <c r="N86" s="143"/>
      <c r="O86" s="142"/>
      <c r="P86" s="143"/>
      <c r="Q86" s="44"/>
      <c r="R86" s="44"/>
      <c r="S86" s="44"/>
      <c r="T86" s="44"/>
      <c r="U86" s="44"/>
      <c r="V86" s="44"/>
      <c r="Y86"/>
      <c r="Z86"/>
      <c r="AA86"/>
    </row>
    <row r="87" spans="1:27" ht="4.5" customHeight="1">
      <c r="A87" s="9"/>
      <c r="B87" s="101"/>
      <c r="Y87"/>
      <c r="Z87"/>
      <c r="AA87"/>
    </row>
    <row r="88" spans="1:27" ht="15" customHeight="1">
      <c r="A88" s="9"/>
      <c r="B88" s="118" t="str">
        <f ca="1">IF( Konsolidovan_izvjestaj, Konsolidovani_Konsolidovani &amp; " 2:", "")</f>
        <v/>
      </c>
      <c r="Y88"/>
      <c r="Z88"/>
      <c r="AA88"/>
    </row>
    <row r="89" spans="1:27" ht="15" customHeight="1">
      <c r="A89" s="9"/>
      <c r="B89" s="85" t="str">
        <f ca="1">IF( Konsolidovan_izvjestaj, Zaglavlje_MB, "")</f>
        <v/>
      </c>
      <c r="D89" s="83"/>
      <c r="E89" s="83"/>
      <c r="F89" s="83"/>
      <c r="G89" s="83"/>
      <c r="H89" s="83"/>
      <c r="I89" s="83"/>
      <c r="J89" s="83"/>
      <c r="K89" s="83"/>
      <c r="Y89"/>
      <c r="Z89"/>
      <c r="AA89"/>
    </row>
    <row r="90" spans="1:27" ht="4.5" customHeight="1">
      <c r="A90" s="9"/>
      <c r="B90" s="78"/>
    </row>
    <row r="91" spans="1:27" ht="12.75" customHeight="1">
      <c r="A91" s="9"/>
      <c r="B91" s="545" t="str">
        <f ca="1">IF( Konsolidovan_izvjestaj, Zaglavlje_Naziv_preduzeca, "")</f>
        <v/>
      </c>
    </row>
    <row r="92" spans="1:27" ht="21.75" customHeight="1">
      <c r="A92" s="9"/>
      <c r="B92" s="545"/>
      <c r="D92" s="548"/>
      <c r="E92" s="548"/>
      <c r="F92" s="548"/>
      <c r="G92" s="548"/>
      <c r="H92" s="548"/>
      <c r="I92" s="548"/>
      <c r="J92" s="548"/>
      <c r="K92" s="548"/>
      <c r="L92" s="548"/>
      <c r="M92" s="548"/>
      <c r="N92" s="548"/>
      <c r="O92" s="548"/>
      <c r="P92" s="548"/>
      <c r="Q92" s="548"/>
      <c r="R92" s="548"/>
      <c r="S92" s="548"/>
      <c r="T92" s="548"/>
      <c r="U92" s="548"/>
      <c r="V92" s="548"/>
    </row>
    <row r="93" spans="1:27" ht="10.5" customHeight="1">
      <c r="A93" s="9"/>
      <c r="B93" s="85"/>
      <c r="D93" s="2"/>
      <c r="E93" s="2"/>
      <c r="F93" s="2"/>
      <c r="G93" s="2"/>
      <c r="H93" s="2"/>
      <c r="I93" s="2"/>
      <c r="J93" s="2"/>
      <c r="K93" s="2"/>
      <c r="L93" s="2"/>
      <c r="M93" s="2"/>
      <c r="N93" s="2"/>
      <c r="O93" s="2"/>
      <c r="P93" s="2"/>
      <c r="Q93" s="2"/>
      <c r="R93" s="2"/>
      <c r="S93" s="2"/>
      <c r="T93" s="2"/>
      <c r="U93" s="2"/>
      <c r="V93" s="2"/>
    </row>
    <row r="94" spans="1:27" ht="15" customHeight="1">
      <c r="A94" s="9"/>
      <c r="B94" s="85" t="str">
        <f ca="1">IF( Konsolidovan_izvjestaj, Zaglavlje_Sjediste, "")</f>
        <v/>
      </c>
      <c r="D94" s="548"/>
      <c r="E94" s="548"/>
      <c r="F94" s="548"/>
      <c r="G94" s="548"/>
      <c r="H94" s="548"/>
      <c r="I94" s="548"/>
      <c r="J94" s="548"/>
      <c r="K94" s="548"/>
      <c r="L94" s="548"/>
      <c r="M94" s="548"/>
      <c r="N94" s="548"/>
      <c r="O94" s="548"/>
      <c r="P94" s="548"/>
      <c r="Q94" s="548"/>
      <c r="R94" s="548"/>
      <c r="S94" s="548"/>
      <c r="T94" s="548"/>
      <c r="U94" s="548"/>
      <c r="V94" s="548"/>
    </row>
    <row r="95" spans="1:27" ht="4.5" customHeight="1">
      <c r="A95" s="9"/>
      <c r="B95" s="85"/>
    </row>
    <row r="96" spans="1:27" ht="15" customHeight="1">
      <c r="A96" s="9"/>
      <c r="B96" s="85" t="str">
        <f ca="1">IF( Konsolidovan_izvjestaj, Zaglavlje_JIB, "")</f>
        <v/>
      </c>
      <c r="D96" s="83"/>
      <c r="E96" s="142"/>
      <c r="F96" s="143"/>
      <c r="G96" s="83"/>
      <c r="H96" s="142"/>
      <c r="I96" s="143"/>
      <c r="J96" s="83"/>
      <c r="K96" s="142"/>
      <c r="L96" s="143"/>
      <c r="M96" s="142"/>
      <c r="N96" s="143"/>
      <c r="O96" s="142"/>
      <c r="P96" s="143"/>
      <c r="Q96" s="44"/>
      <c r="R96" s="44"/>
      <c r="S96" s="44"/>
      <c r="T96" s="44"/>
      <c r="U96" s="44"/>
      <c r="V96" s="44"/>
    </row>
    <row r="97" spans="1:32" ht="4.5" customHeight="1">
      <c r="A97" s="9"/>
      <c r="B97" s="101"/>
    </row>
    <row r="98" spans="1:32" ht="15" customHeight="1">
      <c r="A98" s="9"/>
      <c r="B98" s="118" t="str">
        <f ca="1">IF( Konsolidovan_izvjestaj, Konsolidovani_Konsolidovani &amp; " 3:", "")</f>
        <v/>
      </c>
    </row>
    <row r="99" spans="1:32" ht="15" customHeight="1">
      <c r="A99" s="9"/>
      <c r="B99" s="85" t="str">
        <f ca="1">IF( Konsolidovan_izvjestaj, Zaglavlje_MB, "")</f>
        <v/>
      </c>
      <c r="D99" s="83"/>
      <c r="E99" s="83"/>
      <c r="F99" s="83"/>
      <c r="G99" s="83"/>
      <c r="H99" s="83"/>
      <c r="I99" s="83"/>
      <c r="J99" s="83"/>
      <c r="K99" s="83"/>
    </row>
    <row r="100" spans="1:32" customFormat="1" ht="15" customHeight="1">
      <c r="A100" s="78"/>
      <c r="B100" s="78"/>
      <c r="AE100" s="8"/>
      <c r="AF100" s="8"/>
    </row>
    <row r="101" spans="1:32" ht="12.75" customHeight="1">
      <c r="A101" s="9"/>
      <c r="B101" s="545" t="str">
        <f ca="1">IF( Konsolidovan_izvjestaj, Zaglavlje_Naziv_preduzeca, "")</f>
        <v/>
      </c>
    </row>
    <row r="102" spans="1:32" ht="20.25" customHeight="1">
      <c r="A102" s="9"/>
      <c r="B102" s="545"/>
      <c r="D102" s="548"/>
      <c r="E102" s="548"/>
      <c r="F102" s="548"/>
      <c r="G102" s="548"/>
      <c r="H102" s="548"/>
      <c r="I102" s="548"/>
      <c r="J102" s="548"/>
      <c r="K102" s="548"/>
      <c r="L102" s="548"/>
      <c r="M102" s="548"/>
      <c r="N102" s="548"/>
      <c r="O102" s="548"/>
      <c r="P102" s="548"/>
      <c r="Q102" s="548"/>
      <c r="R102" s="548"/>
      <c r="S102" s="548"/>
      <c r="T102" s="548"/>
      <c r="U102" s="548"/>
      <c r="V102" s="548"/>
    </row>
    <row r="103" spans="1:32" ht="15" customHeight="1">
      <c r="A103" s="9"/>
      <c r="B103" s="85"/>
      <c r="D103" s="2"/>
      <c r="E103" s="2"/>
      <c r="F103" s="2"/>
      <c r="G103" s="2"/>
      <c r="H103" s="2"/>
      <c r="I103" s="2"/>
      <c r="J103" s="2"/>
      <c r="K103" s="2"/>
      <c r="L103" s="2"/>
      <c r="M103" s="2"/>
      <c r="N103" s="2"/>
      <c r="O103" s="2"/>
      <c r="P103" s="2"/>
      <c r="Q103" s="2"/>
      <c r="R103" s="2"/>
      <c r="S103" s="2"/>
      <c r="T103" s="2"/>
      <c r="U103" s="2"/>
      <c r="V103" s="2"/>
    </row>
    <row r="104" spans="1:32" ht="15" customHeight="1">
      <c r="A104" s="9"/>
      <c r="B104" s="85" t="str">
        <f ca="1">IF( Konsolidovan_izvjestaj, Zaglavlje_Sjediste, "")</f>
        <v/>
      </c>
      <c r="D104" s="548"/>
      <c r="E104" s="548"/>
      <c r="F104" s="548"/>
      <c r="G104" s="548"/>
      <c r="H104" s="548"/>
      <c r="I104" s="548"/>
      <c r="J104" s="548"/>
      <c r="K104" s="548"/>
      <c r="L104" s="548"/>
      <c r="M104" s="548"/>
      <c r="N104" s="548"/>
      <c r="O104" s="548"/>
      <c r="P104" s="548"/>
      <c r="Q104" s="548"/>
      <c r="R104" s="548"/>
      <c r="S104" s="548"/>
      <c r="T104" s="548"/>
      <c r="U104" s="548"/>
      <c r="V104" s="548"/>
    </row>
    <row r="105" spans="1:32" ht="4.5" customHeight="1">
      <c r="A105" s="9"/>
      <c r="B105" s="85"/>
    </row>
    <row r="106" spans="1:32" ht="15" customHeight="1">
      <c r="A106" s="9"/>
      <c r="B106" s="85" t="str">
        <f ca="1">IF( Konsolidovan_izvjestaj, Zaglavlje_JIB, "")</f>
        <v/>
      </c>
      <c r="D106" s="83"/>
      <c r="E106" s="142"/>
      <c r="F106" s="143"/>
      <c r="G106" s="83"/>
      <c r="H106" s="142"/>
      <c r="I106" s="143"/>
      <c r="J106" s="83"/>
      <c r="K106" s="142"/>
      <c r="L106" s="143"/>
      <c r="M106" s="142"/>
      <c r="N106" s="143"/>
      <c r="O106" s="142"/>
      <c r="P106" s="143"/>
      <c r="Q106" s="44"/>
      <c r="R106" s="44"/>
      <c r="S106" s="44"/>
      <c r="T106" s="44"/>
      <c r="U106" s="44"/>
      <c r="V106" s="44"/>
    </row>
    <row r="107" spans="1:32" ht="4.5" customHeight="1"/>
    <row r="108" spans="1:32" ht="15" customHeight="1">
      <c r="B108" s="118" t="str">
        <f ca="1">IF( Konsolidovan_izvjestaj, Konsolidovani_Konsolidovani &amp; " 4:", "")</f>
        <v/>
      </c>
    </row>
    <row r="109" spans="1:32" ht="15" customHeight="1">
      <c r="B109" s="85" t="str">
        <f ca="1">IF( Konsolidovan_izvjestaj, Zaglavlje_MB, "")</f>
        <v/>
      </c>
      <c r="D109" s="83"/>
      <c r="E109" s="83"/>
      <c r="F109" s="83"/>
      <c r="G109" s="83"/>
      <c r="H109" s="83"/>
      <c r="I109" s="83"/>
      <c r="J109" s="83"/>
      <c r="K109" s="83"/>
    </row>
    <row r="110" spans="1:32" ht="12.75" customHeight="1">
      <c r="B110" s="78"/>
      <c r="C110"/>
      <c r="D110"/>
      <c r="E110"/>
      <c r="F110"/>
      <c r="G110"/>
      <c r="H110"/>
      <c r="I110"/>
      <c r="J110"/>
      <c r="K110"/>
      <c r="L110"/>
      <c r="M110"/>
      <c r="N110"/>
      <c r="O110"/>
      <c r="P110"/>
      <c r="Q110"/>
      <c r="R110"/>
      <c r="S110"/>
      <c r="T110"/>
      <c r="U110"/>
      <c r="V110"/>
    </row>
    <row r="111" spans="1:32" ht="20.25" customHeight="1">
      <c r="B111" s="545" t="str">
        <f ca="1">IF( Konsolidovan_izvjestaj, Zaglavlje_Naziv_preduzeca, "")</f>
        <v/>
      </c>
    </row>
    <row r="112" spans="1:32" ht="22.5" customHeight="1">
      <c r="B112" s="545"/>
      <c r="D112" s="548"/>
      <c r="E112" s="548"/>
      <c r="F112" s="548"/>
      <c r="G112" s="548"/>
      <c r="H112" s="548"/>
      <c r="I112" s="548"/>
      <c r="J112" s="548"/>
      <c r="K112" s="548"/>
      <c r="L112" s="548"/>
      <c r="M112" s="548"/>
      <c r="N112" s="548"/>
      <c r="O112" s="548"/>
      <c r="P112" s="548"/>
      <c r="Q112" s="548"/>
      <c r="R112" s="548"/>
      <c r="S112" s="548"/>
      <c r="T112" s="548"/>
      <c r="U112" s="548"/>
      <c r="V112" s="548"/>
    </row>
    <row r="113" spans="2:32" ht="12.75" customHeight="1">
      <c r="B113" s="85"/>
      <c r="D113" s="2"/>
      <c r="E113" s="2"/>
      <c r="F113" s="2"/>
      <c r="G113" s="2"/>
      <c r="H113" s="2"/>
      <c r="I113" s="2"/>
      <c r="J113" s="2"/>
      <c r="K113" s="2"/>
      <c r="L113" s="2"/>
      <c r="M113" s="2"/>
      <c r="N113" s="2"/>
      <c r="O113" s="2"/>
      <c r="P113" s="2"/>
      <c r="Q113" s="2"/>
      <c r="R113" s="2"/>
      <c r="S113" s="2"/>
      <c r="T113" s="2"/>
      <c r="U113" s="2"/>
      <c r="V113" s="2"/>
      <c r="AF113" s="89"/>
    </row>
    <row r="114" spans="2:32" ht="15" customHeight="1">
      <c r="B114" s="85" t="str">
        <f ca="1">IF( Konsolidovan_izvjestaj, Zaglavlje_Sjediste, "")</f>
        <v/>
      </c>
      <c r="D114" s="548"/>
      <c r="E114" s="548"/>
      <c r="F114" s="548"/>
      <c r="G114" s="548"/>
      <c r="H114" s="548"/>
      <c r="I114" s="548"/>
      <c r="J114" s="548"/>
      <c r="K114" s="548"/>
      <c r="L114" s="548"/>
      <c r="M114" s="548"/>
      <c r="N114" s="548"/>
      <c r="O114" s="548"/>
      <c r="P114" s="548"/>
      <c r="Q114" s="548"/>
      <c r="R114" s="548"/>
      <c r="S114" s="548"/>
      <c r="T114" s="548"/>
      <c r="U114" s="548"/>
      <c r="V114" s="548"/>
    </row>
    <row r="115" spans="2:32" ht="12.75" customHeight="1">
      <c r="B115" s="85"/>
    </row>
    <row r="116" spans="2:32" ht="15" customHeight="1">
      <c r="B116" s="85" t="str">
        <f ca="1">IF( Konsolidovan_izvjestaj, Zaglavlje_JIB, "")</f>
        <v/>
      </c>
      <c r="D116" s="83"/>
      <c r="E116" s="142"/>
      <c r="F116" s="143"/>
      <c r="G116" s="83"/>
      <c r="H116" s="142"/>
      <c r="I116" s="143"/>
      <c r="J116" s="83"/>
      <c r="K116" s="142"/>
      <c r="L116" s="143"/>
      <c r="M116" s="142"/>
      <c r="N116" s="143"/>
      <c r="O116" s="142"/>
      <c r="P116" s="143"/>
      <c r="Q116" s="44"/>
      <c r="R116" s="44"/>
      <c r="S116" s="44"/>
      <c r="T116" s="44"/>
      <c r="U116" s="44"/>
      <c r="V116" s="44"/>
    </row>
    <row r="117" spans="2:32" ht="4.5" customHeight="1"/>
    <row r="118" spans="2:32" ht="15" customHeight="1">
      <c r="B118" s="118" t="str">
        <f ca="1">IF( Konsolidovan_izvjestaj, Konsolidovani_Konsolidovani &amp; " 5:", "")</f>
        <v/>
      </c>
    </row>
    <row r="119" spans="2:32" ht="15" customHeight="1">
      <c r="B119" s="85" t="str">
        <f ca="1">IF( Konsolidovan_izvjestaj, Zaglavlje_MB, "")</f>
        <v/>
      </c>
      <c r="D119" s="83"/>
      <c r="E119" s="83"/>
      <c r="F119" s="83"/>
      <c r="G119" s="83"/>
      <c r="H119" s="83"/>
      <c r="I119" s="83"/>
      <c r="J119" s="83"/>
      <c r="K119" s="83"/>
    </row>
    <row r="120" spans="2:32" ht="12.75" customHeight="1">
      <c r="B120" s="78"/>
      <c r="C120"/>
      <c r="D120"/>
      <c r="E120"/>
      <c r="F120"/>
      <c r="G120"/>
      <c r="H120"/>
      <c r="I120"/>
      <c r="J120"/>
      <c r="K120"/>
      <c r="L120"/>
      <c r="M120"/>
      <c r="N120"/>
      <c r="O120"/>
      <c r="P120"/>
      <c r="Q120"/>
      <c r="R120"/>
      <c r="S120"/>
      <c r="T120"/>
      <c r="U120"/>
      <c r="V120"/>
    </row>
    <row r="121" spans="2:32" ht="18" customHeight="1">
      <c r="B121" s="545" t="str">
        <f ca="1">IF( Konsolidovan_izvjestaj, Zaglavlje_Naziv_preduzeca, "")</f>
        <v/>
      </c>
    </row>
    <row r="122" spans="2:32" ht="8.25" customHeight="1">
      <c r="B122" s="545"/>
      <c r="D122" s="548"/>
      <c r="E122" s="548"/>
      <c r="F122" s="548"/>
      <c r="G122" s="548"/>
      <c r="H122" s="548"/>
      <c r="I122" s="548"/>
      <c r="J122" s="548"/>
      <c r="K122" s="548"/>
      <c r="L122" s="548"/>
      <c r="M122" s="548"/>
      <c r="N122" s="548"/>
      <c r="O122" s="548"/>
      <c r="P122" s="548"/>
      <c r="Q122" s="548"/>
      <c r="R122" s="548"/>
      <c r="S122" s="548"/>
      <c r="T122" s="548"/>
      <c r="U122" s="548"/>
      <c r="V122" s="548"/>
    </row>
    <row r="123" spans="2:32" ht="12.75" customHeight="1">
      <c r="B123" s="85"/>
      <c r="D123" s="2"/>
      <c r="E123" s="2"/>
      <c r="F123" s="2"/>
      <c r="G123" s="2"/>
      <c r="H123" s="2"/>
      <c r="I123" s="2"/>
      <c r="J123" s="2"/>
      <c r="K123" s="2"/>
      <c r="L123" s="2"/>
      <c r="M123" s="2"/>
      <c r="N123" s="2"/>
      <c r="O123" s="2"/>
      <c r="P123" s="2"/>
      <c r="Q123" s="2"/>
      <c r="R123" s="2"/>
      <c r="S123" s="2"/>
      <c r="T123" s="2"/>
      <c r="U123" s="2"/>
      <c r="V123" s="2"/>
    </row>
    <row r="124" spans="2:32" ht="15" customHeight="1">
      <c r="B124" s="85" t="str">
        <f ca="1">IF( Konsolidovan_izvjestaj, Zaglavlje_Sjediste, "")</f>
        <v/>
      </c>
      <c r="D124" s="548"/>
      <c r="E124" s="548"/>
      <c r="F124" s="548"/>
      <c r="G124" s="548"/>
      <c r="H124" s="548"/>
      <c r="I124" s="548"/>
      <c r="J124" s="548"/>
      <c r="K124" s="548"/>
      <c r="L124" s="548"/>
      <c r="M124" s="548"/>
      <c r="N124" s="548"/>
      <c r="O124" s="548"/>
      <c r="P124" s="548"/>
      <c r="Q124" s="548"/>
      <c r="R124" s="548"/>
      <c r="S124" s="548"/>
      <c r="T124" s="548"/>
      <c r="U124" s="548"/>
      <c r="V124" s="548"/>
    </row>
    <row r="125" spans="2:32" ht="12.75" customHeight="1">
      <c r="B125" s="85"/>
    </row>
    <row r="126" spans="2:32" ht="15" customHeight="1">
      <c r="B126" s="85" t="str">
        <f ca="1">IF( Konsolidovan_izvjestaj, Zaglavlje_JIB, "")</f>
        <v/>
      </c>
      <c r="D126" s="83"/>
      <c r="E126" s="142"/>
      <c r="F126" s="143"/>
      <c r="G126" s="83"/>
      <c r="H126" s="142"/>
      <c r="I126" s="143"/>
      <c r="J126" s="83"/>
      <c r="K126" s="142"/>
      <c r="L126" s="143"/>
      <c r="M126" s="142"/>
      <c r="N126" s="143"/>
      <c r="O126" s="142"/>
      <c r="P126" s="143"/>
      <c r="Q126" s="44"/>
      <c r="R126" s="44"/>
      <c r="S126" s="44"/>
      <c r="T126" s="44"/>
      <c r="U126" s="44"/>
      <c r="V126" s="44"/>
    </row>
  </sheetData>
  <sheetProtection selectLockedCells="1"/>
  <mergeCells count="36">
    <mergeCell ref="D124:V124"/>
    <mergeCell ref="D94:V94"/>
    <mergeCell ref="D102:V102"/>
    <mergeCell ref="D104:V104"/>
    <mergeCell ref="D112:V112"/>
    <mergeCell ref="D114:V114"/>
    <mergeCell ref="D122:V122"/>
    <mergeCell ref="D22:V22"/>
    <mergeCell ref="J43:L43"/>
    <mergeCell ref="B81:B82"/>
    <mergeCell ref="D49:V49"/>
    <mergeCell ref="D72:V72"/>
    <mergeCell ref="D82:V82"/>
    <mergeCell ref="B69:B70"/>
    <mergeCell ref="D54:V54"/>
    <mergeCell ref="D84:V84"/>
    <mergeCell ref="B121:B122"/>
    <mergeCell ref="B111:B112"/>
    <mergeCell ref="B91:B92"/>
    <mergeCell ref="B101:B102"/>
    <mergeCell ref="D92:V92"/>
    <mergeCell ref="D56:V56"/>
    <mergeCell ref="D70:V70"/>
    <mergeCell ref="D43:E43"/>
    <mergeCell ref="G43:H43"/>
    <mergeCell ref="D40:V40"/>
    <mergeCell ref="D45:V45"/>
    <mergeCell ref="D47:V47"/>
    <mergeCell ref="D52:V52"/>
    <mergeCell ref="J8:L10"/>
    <mergeCell ref="D8:E8"/>
    <mergeCell ref="G8:H8"/>
    <mergeCell ref="D10:E10"/>
    <mergeCell ref="G10:H10"/>
    <mergeCell ref="B19:B20"/>
    <mergeCell ref="D20:V20"/>
  </mergeCells>
  <phoneticPr fontId="25" type="noConversion"/>
  <conditionalFormatting sqref="E24:P24 E74:P74 E86:P86 E96:P96 E106:P106 E116:P116 E126:P126">
    <cfRule type="expression" dxfId="216" priority="65" stopIfTrue="1">
      <formula>$O$14 &gt; 0</formula>
    </cfRule>
  </conditionalFormatting>
  <conditionalFormatting sqref="D17:E17 D27:F27 D29:F29 D31:F31 D33:F33 D35:F35 D37:F37 D58:F58 D60:F60 D24:P24 L27:S27 H27:J27 L29:S29 H29:J29 L31:S31 H31:J31 L33:S33 H33:J33 L35:S35 H35:J35 L37:S37 H37:J37 H58:J58 H60:J60 D15:K15 L58:N58 L60:N60 D74:P74 D67:K67 D79:K79 D89:K89 D99:K99 D109:K109 D119:K119 D86:P86 D96:P96 D106:P106 D116:P116 D126:P126">
    <cfRule type="expression" dxfId="215" priority="50" stopIfTrue="1">
      <formula>$AC$3 &gt; 0</formula>
    </cfRule>
  </conditionalFormatting>
  <conditionalFormatting sqref="G17:I17">
    <cfRule type="expression" dxfId="214" priority="48" stopIfTrue="1">
      <formula>$AC$3 &gt; 0</formula>
    </cfRule>
  </conditionalFormatting>
  <conditionalFormatting sqref="U27:V27">
    <cfRule type="expression" dxfId="213" priority="47" stopIfTrue="1">
      <formula>$AC$3 &gt; 0</formula>
    </cfRule>
  </conditionalFormatting>
  <conditionalFormatting sqref="U29:V29">
    <cfRule type="expression" dxfId="212" priority="46" stopIfTrue="1">
      <formula>$AC$3 &gt; 0</formula>
    </cfRule>
  </conditionalFormatting>
  <conditionalFormatting sqref="U31:V31">
    <cfRule type="expression" dxfId="211" priority="45" stopIfTrue="1">
      <formula>$AC$3 &gt; 0</formula>
    </cfRule>
  </conditionalFormatting>
  <conditionalFormatting sqref="U33:V33">
    <cfRule type="expression" dxfId="210" priority="44" stopIfTrue="1">
      <formula>$AC$3 &gt; 0</formula>
    </cfRule>
  </conditionalFormatting>
  <conditionalFormatting sqref="U35:V35">
    <cfRule type="expression" dxfId="209" priority="43" stopIfTrue="1">
      <formula>$AC$3 &gt; 0</formula>
    </cfRule>
  </conditionalFormatting>
  <conditionalFormatting sqref="U37:V37">
    <cfRule type="expression" dxfId="208" priority="42"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15:K15 D24:P24">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worksheet>
</file>

<file path=xl/worksheets/sheet3.xml><?xml version="1.0" encoding="utf-8"?>
<worksheet xmlns="http://schemas.openxmlformats.org/spreadsheetml/2006/main" xmlns:r="http://schemas.openxmlformats.org/officeDocument/2006/relationships">
  <sheetPr codeName="Sheet01">
    <tabColor rgb="FFB2B2B2"/>
  </sheetPr>
  <dimension ref="A1:P166"/>
  <sheetViews>
    <sheetView showGridLines="0" view="pageBreakPreview" topLeftCell="A68" zoomScale="85" zoomScaleNormal="100" zoomScaleSheetLayoutView="85" workbookViewId="0">
      <selection activeCell="D131" sqref="D131:H131"/>
    </sheetView>
  </sheetViews>
  <sheetFormatPr defaultColWidth="0" defaultRowHeight="12.75" zeroHeight="1"/>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3" width="16.140625" style="8" customWidth="1"/>
    <col min="14" max="14" width="15.7109375" style="8" customWidth="1"/>
    <col min="15" max="16" width="11.42578125" style="8" hidden="1" customWidth="1"/>
    <col min="17" max="16384" width="0" style="8" hidden="1"/>
  </cols>
  <sheetData>
    <row r="1" spans="1:14">
      <c r="B1" s="8"/>
      <c r="C1" s="136"/>
      <c r="D1" s="137"/>
      <c r="E1" s="137"/>
      <c r="F1" s="137"/>
      <c r="G1" s="137"/>
      <c r="H1" s="137"/>
      <c r="I1" s="137"/>
      <c r="J1" s="138"/>
      <c r="K1" s="18"/>
      <c r="L1" s="18"/>
      <c r="M1" s="18"/>
      <c r="N1" s="18"/>
    </row>
    <row r="2" spans="1:14">
      <c r="B2" s="8"/>
      <c r="C2" s="136"/>
      <c r="D2" s="137"/>
      <c r="E2" s="137"/>
      <c r="F2" s="137"/>
      <c r="G2" s="137"/>
      <c r="H2" s="137"/>
      <c r="I2" s="137"/>
      <c r="J2" s="138"/>
      <c r="K2" s="18"/>
      <c r="L2" s="18"/>
      <c r="M2" s="18"/>
      <c r="N2" s="18"/>
    </row>
    <row r="3" spans="1:14">
      <c r="B3" s="8"/>
      <c r="C3" s="136"/>
      <c r="D3" s="137"/>
      <c r="E3" s="137"/>
      <c r="F3" s="137"/>
      <c r="G3" s="137"/>
      <c r="H3" s="137"/>
      <c r="I3" s="137"/>
      <c r="J3" s="138"/>
      <c r="K3" s="18"/>
      <c r="L3" s="18"/>
      <c r="M3" s="18"/>
      <c r="N3" s="18"/>
    </row>
    <row r="4" spans="1:14">
      <c r="B4" s="8"/>
      <c r="C4" s="136"/>
      <c r="D4" s="137"/>
      <c r="E4" s="137"/>
      <c r="F4" s="137"/>
      <c r="G4" s="137"/>
      <c r="H4" s="137"/>
      <c r="I4" s="137"/>
      <c r="J4" s="138"/>
      <c r="K4" s="18"/>
      <c r="L4" s="18"/>
      <c r="M4" s="18"/>
      <c r="N4" s="18"/>
    </row>
    <row r="5" spans="1:14" ht="12.75" customHeight="1">
      <c r="A5" s="13"/>
      <c r="B5" s="13"/>
      <c r="C5" s="618" t="str">
        <f ca="1">Zaglavlje_Naziv_preduzeca</f>
        <v xml:space="preserve">Naziv privrednog društva, zadruge, drugog pravnog lica ili preduzetnika: </v>
      </c>
      <c r="D5" s="618"/>
      <c r="E5" s="618"/>
      <c r="F5" s="127"/>
      <c r="G5" s="127"/>
      <c r="H5" s="127"/>
      <c r="I5" s="127"/>
      <c r="K5" s="127"/>
      <c r="N5" s="393" t="str">
        <f ca="1">Podatak_MB</f>
        <v>01111329</v>
      </c>
    </row>
    <row r="6" spans="1:14">
      <c r="A6" s="13"/>
      <c r="B6" s="13"/>
      <c r="C6" s="618"/>
      <c r="D6" s="618"/>
      <c r="E6" s="618"/>
      <c r="F6" s="129"/>
      <c r="G6" s="127"/>
      <c r="J6" s="127"/>
      <c r="K6" s="127"/>
      <c r="L6" s="127"/>
      <c r="N6" s="413" t="str">
        <f ca="1">Zaglavlje_MB</f>
        <v>Matični broj</v>
      </c>
    </row>
    <row r="7" spans="1:14">
      <c r="A7" s="16"/>
      <c r="B7" s="16"/>
      <c r="C7" s="621" t="str">
        <f ca="1">Podatak_Naziv_preduzeca</f>
        <v>RUDNICI ŽELJEZNE RUDE LJUBIJA AD PRIJEDOR</v>
      </c>
      <c r="D7" s="621"/>
      <c r="E7" s="621"/>
      <c r="F7" s="241"/>
      <c r="J7" s="127"/>
      <c r="K7" s="127"/>
      <c r="L7" s="127"/>
      <c r="N7" s="393" t="str">
        <f ca="1">Podatak_Sifra_djelatnosti</f>
        <v>07.10</v>
      </c>
    </row>
    <row r="8" spans="1:14">
      <c r="A8" s="16"/>
      <c r="B8" s="16"/>
      <c r="C8" s="126" t="str">
        <f ca="1">Zaglavlje_Sjediste</f>
        <v>Sjedište:</v>
      </c>
      <c r="D8" s="622" t="str">
        <f ca="1">Podatak_Sjediste</f>
        <v>PRIJEDOR</v>
      </c>
      <c r="E8" s="622"/>
      <c r="F8" s="130"/>
      <c r="G8" s="127"/>
      <c r="J8" s="127"/>
      <c r="K8" s="127"/>
      <c r="L8" s="127"/>
      <c r="N8" s="240" t="str">
        <f ca="1">Zaglavlje_Sifra_djelatnosti</f>
        <v>Šifra djelatnosti</v>
      </c>
    </row>
    <row r="9" spans="1:14" ht="12.75" customHeight="1">
      <c r="A9" s="13"/>
      <c r="B9" s="13"/>
      <c r="C9" s="620" t="str">
        <f ca="1">Zaglavlje_Ziro_racun</f>
        <v>Račun kod ovlašćene organizacije za platni promet:</v>
      </c>
      <c r="D9" s="620"/>
      <c r="E9" s="620"/>
      <c r="J9" s="127"/>
      <c r="K9" s="127"/>
      <c r="L9" s="624" t="str">
        <f ca="1">Podatak_JIB</f>
        <v>4400692320002</v>
      </c>
      <c r="M9" s="624"/>
      <c r="N9" s="624"/>
    </row>
    <row r="10" spans="1:14">
      <c r="A10" s="13"/>
      <c r="B10" s="13"/>
      <c r="C10" s="615" t="str">
        <f ca="1">Podatak_Ziro_racun_1</f>
        <v>555-100-00160158-32</v>
      </c>
      <c r="D10" s="615"/>
      <c r="E10" s="615"/>
      <c r="F10" s="126"/>
      <c r="G10" s="619" t="s">
        <v>2912</v>
      </c>
      <c r="H10" s="619"/>
      <c r="J10" s="127"/>
      <c r="K10" s="127"/>
      <c r="L10" s="127"/>
      <c r="N10" s="240" t="str">
        <f ca="1">Zaglavlje_JIB</f>
        <v>JIB</v>
      </c>
    </row>
    <row r="11" spans="1:14">
      <c r="B11" s="8"/>
      <c r="C11" s="615" t="str">
        <f ca="1">Podatak_Ziro_racun_2</f>
        <v/>
      </c>
      <c r="D11" s="615"/>
      <c r="E11" s="615"/>
      <c r="F11" s="131"/>
      <c r="G11" s="131"/>
      <c r="H11" s="131"/>
      <c r="I11" s="131"/>
      <c r="J11" s="132"/>
      <c r="K11" s="132"/>
      <c r="L11" s="131"/>
      <c r="M11" s="133"/>
      <c r="N11" s="133"/>
    </row>
    <row r="12" spans="1:14">
      <c r="B12" s="8"/>
      <c r="C12" s="615" t="str">
        <f ca="1">Podatak_Ziro_racun_3</f>
        <v/>
      </c>
      <c r="D12" s="615"/>
      <c r="E12" s="615"/>
      <c r="F12" s="131"/>
      <c r="G12" s="131"/>
      <c r="H12" s="131"/>
      <c r="I12" s="131"/>
      <c r="J12" s="132"/>
      <c r="K12" s="132"/>
      <c r="L12" s="131"/>
      <c r="M12" s="133"/>
      <c r="N12" s="133"/>
    </row>
    <row r="13" spans="1:14">
      <c r="B13" s="8"/>
      <c r="C13" s="615" t="str">
        <f ca="1">Podatak_Ziro_racun_4</f>
        <v/>
      </c>
      <c r="D13" s="615"/>
      <c r="E13" s="615"/>
      <c r="F13" s="131"/>
      <c r="G13" s="131"/>
      <c r="H13" s="131"/>
      <c r="I13" s="131"/>
      <c r="J13" s="132"/>
      <c r="K13" s="132"/>
      <c r="L13" s="131"/>
      <c r="M13" s="133"/>
      <c r="N13" s="133"/>
    </row>
    <row r="14" spans="1:14" ht="15.75">
      <c r="B14" s="8"/>
      <c r="C14" s="623" t="str">
        <f ca="1">IF( Id_Konsolidovani, Nazivi_bilansa_Konsolidovani_naziv &amp; LOWER( Nazivi_bilansa_BS), Nazivi_bilansa_BS)</f>
        <v>Bilans stanja</v>
      </c>
      <c r="D14" s="623"/>
      <c r="E14" s="623"/>
      <c r="F14" s="623"/>
      <c r="G14" s="623"/>
      <c r="H14" s="623"/>
      <c r="I14" s="623"/>
      <c r="J14" s="623"/>
      <c r="K14" s="623"/>
      <c r="L14" s="623"/>
      <c r="M14" s="623"/>
      <c r="N14" s="623"/>
    </row>
    <row r="15" spans="1:14">
      <c r="B15" s="8"/>
      <c r="C15" s="616" t="str">
        <f ca="1">Nazivi_bilansa_BS1</f>
        <v>(Izvještaj o finansijskom položaju)</v>
      </c>
      <c r="D15" s="616"/>
      <c r="E15" s="616"/>
      <c r="F15" s="616"/>
      <c r="G15" s="616"/>
      <c r="H15" s="616"/>
      <c r="I15" s="616"/>
      <c r="J15" s="616"/>
      <c r="K15" s="616"/>
      <c r="L15" s="616"/>
      <c r="M15" s="616"/>
      <c r="N15" s="616"/>
    </row>
    <row r="16" spans="1:14">
      <c r="B16" s="8"/>
      <c r="C16" s="616" t="str">
        <f ca="1">Datumi_Datum_BS</f>
        <v>na dan 30.06.2022. godine</v>
      </c>
      <c r="D16" s="616"/>
      <c r="E16" s="616"/>
      <c r="F16" s="616"/>
      <c r="G16" s="616"/>
      <c r="H16" s="616"/>
      <c r="I16" s="616"/>
      <c r="J16" s="616"/>
      <c r="K16" s="616"/>
      <c r="L16" s="616"/>
      <c r="M16" s="616"/>
      <c r="N16" s="616"/>
    </row>
    <row r="17" spans="2:15">
      <c r="B17" s="8"/>
      <c r="C17" s="20"/>
      <c r="D17" s="20"/>
      <c r="E17" s="20"/>
      <c r="F17" s="20"/>
      <c r="G17" s="20"/>
      <c r="H17" s="20"/>
      <c r="I17" s="20"/>
      <c r="J17" s="20"/>
      <c r="K17" s="20"/>
      <c r="L17" s="20"/>
      <c r="M17" s="20"/>
      <c r="N17" s="21" t="str">
        <f ca="1">Tabele_zaglavlje_Valuta</f>
        <v>- u konvertibilnim markama -</v>
      </c>
    </row>
    <row r="18" spans="2:15" ht="12.75" customHeight="1">
      <c r="B18" s="8"/>
      <c r="C18" s="587" t="str">
        <f ca="1">Tabele_zaglavlje_Grupa_racuna</f>
        <v>Grupa računa, račun</v>
      </c>
      <c r="D18" s="605" t="str">
        <f ca="1">Tabele_zaglavlje_Pozicija</f>
        <v>POZICIJA</v>
      </c>
      <c r="E18" s="606"/>
      <c r="F18" s="606"/>
      <c r="G18" s="606"/>
      <c r="H18" s="607"/>
      <c r="I18" s="572" t="str">
        <f ca="1">Tabele_zaglavlje_Oznaka_aop</f>
        <v>Oznaka za AOP</v>
      </c>
      <c r="J18" s="611" t="str">
        <f t="array" aca="1" ref="J18" ca="1">Tabele_zaglavlje_Napomena_aop</f>
        <v>Napomena</v>
      </c>
      <c r="K18" s="617" t="str">
        <f ca="1">Tabele_zaglavlje_BS_iznos_tekuca</f>
        <v>Iznos na dan bilansa tekuće godine</v>
      </c>
      <c r="L18" s="617"/>
      <c r="M18" s="617"/>
      <c r="N18" s="614" t="str">
        <f ca="1">Tabele_zaglavlje_BS_iznos_prethodna</f>
        <v>Iznos na dan bilansa prethodne godine (PS)</v>
      </c>
    </row>
    <row r="19" spans="2:15" ht="38.25" customHeight="1">
      <c r="B19" s="8"/>
      <c r="C19" s="588"/>
      <c r="D19" s="608"/>
      <c r="E19" s="609"/>
      <c r="F19" s="609"/>
      <c r="G19" s="609"/>
      <c r="H19" s="610"/>
      <c r="I19" s="573"/>
      <c r="J19" s="612"/>
      <c r="K19" s="22" t="str">
        <f ca="1">Tabele_zaglavlje_BS_bruto</f>
        <v>Bruto</v>
      </c>
      <c r="L19" s="23" t="str">
        <f ca="1">Tabele_zaglavlje_BS_ispravka</f>
        <v>Ispravka vrijednosti</v>
      </c>
      <c r="M19" s="23" t="str">
        <f ca="1">Tabele_zaglavlje_BS_neto</f>
        <v>Neto (5-6)</v>
      </c>
      <c r="N19" s="567"/>
      <c r="O19" s="135" t="s">
        <v>1789</v>
      </c>
    </row>
    <row r="20" spans="2:15">
      <c r="B20" s="15" t="s">
        <v>1527</v>
      </c>
      <c r="C20" s="24">
        <v>1</v>
      </c>
      <c r="D20" s="589">
        <v>2</v>
      </c>
      <c r="E20" s="590"/>
      <c r="F20" s="590"/>
      <c r="G20" s="590"/>
      <c r="H20" s="591"/>
      <c r="I20" s="25">
        <v>3</v>
      </c>
      <c r="J20" s="25">
        <v>4</v>
      </c>
      <c r="K20" s="25">
        <v>5</v>
      </c>
      <c r="L20" s="25">
        <v>6</v>
      </c>
      <c r="M20" s="25">
        <v>7</v>
      </c>
      <c r="N20" s="26">
        <v>8</v>
      </c>
    </row>
    <row r="21" spans="2:15" ht="26.25" customHeight="1">
      <c r="B21" s="15">
        <v>1</v>
      </c>
      <c r="C21" s="355">
        <f ca="1">VLOOKUP( $B21, Aop!$A$2:$P$456, 5, 1)</f>
        <v>0</v>
      </c>
      <c r="D21" s="584" t="str">
        <f ca="1">VLOOKUP( $B21, Aop!$A$2:$P$456, 6, 1)</f>
        <v xml:space="preserve">  BILANSNA AKTIVA
A. STALNA SREDSTVA (002+008+015+016+017+022+034)</v>
      </c>
      <c r="E21" s="585"/>
      <c r="F21" s="585"/>
      <c r="G21" s="585"/>
      <c r="H21" s="586"/>
      <c r="I21" s="418">
        <f ca="1">VLOOKUP( $B21, Aop!$A$2:$P$456, 4, 1)</f>
        <v>1</v>
      </c>
      <c r="J21" s="155"/>
      <c r="K21" s="32">
        <f>SUBTOTAL( 9, K22:K54)</f>
        <v>149965275</v>
      </c>
      <c r="L21" s="32">
        <f>SUBTOTAL( 9, L22:L54)</f>
        <v>96985911</v>
      </c>
      <c r="M21" s="514">
        <f>SUM(K21,-L21)</f>
        <v>52979364</v>
      </c>
      <c r="N21" s="525">
        <f>N22+N28+N35+N36+N37+N42+N54</f>
        <v>66663579</v>
      </c>
      <c r="O21" s="577"/>
    </row>
    <row r="22" spans="2:15">
      <c r="B22" s="15">
        <v>2</v>
      </c>
      <c r="C22" s="359" t="str">
        <f ca="1">VLOOKUP( $B22, Aop!$A$2:$P$456, 5, 1)</f>
        <v>01</v>
      </c>
      <c r="D22" s="581" t="str">
        <f ca="1">VLOOKUP( $B22, Aop!$A$2:$P$456, 6, 1)</f>
        <v xml:space="preserve">  I  NEMATERIJALNA SREDSTVA  (003 do 007)</v>
      </c>
      <c r="E22" s="582"/>
      <c r="F22" s="582"/>
      <c r="G22" s="582"/>
      <c r="H22" s="583"/>
      <c r="I22" s="166">
        <f ca="1">VLOOKUP( $B22, Aop!$A$2:$P$456, 4, 1)</f>
        <v>2</v>
      </c>
      <c r="J22" s="417"/>
      <c r="K22" s="30">
        <f>SUBTOTAL( 9, K23:K27)</f>
        <v>1869827</v>
      </c>
      <c r="L22" s="30">
        <f>SUBTOTAL( 9, L23:L27)</f>
        <v>1174712</v>
      </c>
      <c r="M22" s="515">
        <f>SUM(K22,-L22)</f>
        <v>695115</v>
      </c>
      <c r="N22" s="526">
        <f>SUBTOTAL( 9, N23:N27)</f>
        <v>729772</v>
      </c>
      <c r="O22" s="577"/>
    </row>
    <row r="23" spans="2:15">
      <c r="B23" s="15">
        <v>3</v>
      </c>
      <c r="C23" s="360" t="str">
        <f ca="1">VLOOKUP( $B23, Aop!$A$2:$P$456, 5, 1)</f>
        <v>010, dio 019</v>
      </c>
      <c r="D23" s="563" t="str">
        <f ca="1">VLOOKUP( $B23, Aop!$A$2:$P$456, 6, 1)</f>
        <v xml:space="preserve">    1. Ulaganja u razvoj</v>
      </c>
      <c r="E23" s="564"/>
      <c r="F23" s="564"/>
      <c r="G23" s="564"/>
      <c r="H23" s="565"/>
      <c r="I23" s="122">
        <f ca="1">VLOOKUP( $B23, Aop!$A$2:$P$456, 4, 1)</f>
        <v>3</v>
      </c>
      <c r="J23" s="155"/>
      <c r="K23" s="155"/>
      <c r="L23" s="155"/>
      <c r="M23" s="516">
        <f t="shared" ref="M23:M86" si="0">SUM(K23,-L23)</f>
        <v>0</v>
      </c>
      <c r="N23" s="526"/>
      <c r="O23" s="512"/>
    </row>
    <row r="24" spans="2:15">
      <c r="B24" s="15">
        <v>4</v>
      </c>
      <c r="C24" s="359" t="str">
        <f ca="1">VLOOKUP( $B24, Aop!$A$2:$P$456, 5, 1)</f>
        <v>011, 013 dio 019</v>
      </c>
      <c r="D24" s="557" t="str">
        <f ca="1">VLOOKUP( $B24, Aop!$A$2:$P$456, 6, 1)</f>
        <v xml:space="preserve">    2. Koncesije, patenti, licence, softver i ostala prava</v>
      </c>
      <c r="E24" s="558"/>
      <c r="F24" s="558"/>
      <c r="G24" s="558"/>
      <c r="H24" s="559"/>
      <c r="I24" s="123">
        <f ca="1">VLOOKUP( $B24, Aop!$A$2:$P$456, 4, 1)</f>
        <v>4</v>
      </c>
      <c r="J24" s="153"/>
      <c r="K24" s="153"/>
      <c r="L24" s="153"/>
      <c r="M24" s="517">
        <f t="shared" si="0"/>
        <v>0</v>
      </c>
      <c r="N24" s="529"/>
      <c r="O24" s="509"/>
    </row>
    <row r="25" spans="2:15">
      <c r="B25" s="15">
        <v>5</v>
      </c>
      <c r="C25" s="360" t="str">
        <f ca="1">VLOOKUP( $B25, Aop!$A$2:$P$456, 5, 1)</f>
        <v>012, dio 019</v>
      </c>
      <c r="D25" s="563" t="str">
        <f ca="1">VLOOKUP( $B25, Aop!$A$2:$P$456, 6, 1)</f>
        <v xml:space="preserve">    3. Goodwill</v>
      </c>
      <c r="E25" s="564"/>
      <c r="F25" s="564"/>
      <c r="G25" s="564"/>
      <c r="H25" s="565"/>
      <c r="I25" s="122">
        <f ca="1">VLOOKUP( $B25, Aop!$A$2:$P$456, 4, 1)</f>
        <v>5</v>
      </c>
      <c r="J25" s="155"/>
      <c r="K25" s="155"/>
      <c r="L25" s="155"/>
      <c r="M25" s="518">
        <f t="shared" si="0"/>
        <v>0</v>
      </c>
      <c r="N25" s="530"/>
      <c r="O25" s="509"/>
    </row>
    <row r="26" spans="2:15">
      <c r="B26" s="15">
        <v>6</v>
      </c>
      <c r="C26" s="359" t="str">
        <f ca="1">VLOOKUP( $B26, Aop!$A$2:$P$456, 5, 1)</f>
        <v>014, dio 019</v>
      </c>
      <c r="D26" s="557" t="str">
        <f ca="1">VLOOKUP( $B26, Aop!$A$2:$P$456, 6, 1)</f>
        <v xml:space="preserve">    4. Ostala nematerijalna sredstva</v>
      </c>
      <c r="E26" s="558"/>
      <c r="F26" s="558"/>
      <c r="G26" s="558"/>
      <c r="H26" s="559"/>
      <c r="I26" s="123">
        <f ca="1">VLOOKUP( $B26, Aop!$A$2:$P$456, 4, 1)</f>
        <v>6</v>
      </c>
      <c r="J26" s="153"/>
      <c r="K26" s="153"/>
      <c r="L26" s="153"/>
      <c r="M26" s="519">
        <f t="shared" si="0"/>
        <v>0</v>
      </c>
      <c r="N26" s="526"/>
      <c r="O26" s="509"/>
    </row>
    <row r="27" spans="2:15">
      <c r="B27" s="15">
        <v>7</v>
      </c>
      <c r="C27" s="360" t="str">
        <f ca="1">VLOOKUP( $B27, Aop!$A$2:$P$456, 5, 1)</f>
        <v>015, 016, dio 019</v>
      </c>
      <c r="D27" s="563" t="str">
        <f ca="1">VLOOKUP( $B27, Aop!$A$2:$P$456, 6, 1)</f>
        <v xml:space="preserve">    5. Avansi i nematerijalna sredstva u pripremi </v>
      </c>
      <c r="E27" s="564"/>
      <c r="F27" s="564"/>
      <c r="G27" s="564"/>
      <c r="H27" s="565"/>
      <c r="I27" s="122">
        <f ca="1">VLOOKUP( $B27, Aop!$A$2:$P$456, 4, 1)</f>
        <v>7</v>
      </c>
      <c r="J27" s="155"/>
      <c r="K27" s="155">
        <v>1869827</v>
      </c>
      <c r="L27" s="155">
        <v>1174712</v>
      </c>
      <c r="M27" s="518">
        <f t="shared" si="0"/>
        <v>695115</v>
      </c>
      <c r="N27" s="526">
        <v>729772</v>
      </c>
      <c r="O27" s="508"/>
    </row>
    <row r="28" spans="2:15">
      <c r="B28" s="15">
        <v>8</v>
      </c>
      <c r="C28" s="359" t="str">
        <f ca="1">VLOOKUP( $B28, Aop!$A$2:$P$456, 5, 1)</f>
        <v>02</v>
      </c>
      <c r="D28" s="574" t="str">
        <f ca="1">VLOOKUP( $B28, Aop!$A$2:$P$456, 6, 1)</f>
        <v xml:space="preserve">  II  NEKRETNINE, POSTROJENJA I OPREMA (009 do 014) </v>
      </c>
      <c r="E28" s="575"/>
      <c r="F28" s="575"/>
      <c r="G28" s="575"/>
      <c r="H28" s="576"/>
      <c r="I28" s="169">
        <f ca="1">VLOOKUP( $B28, Aop!$A$2:$P$456, 4, 1)</f>
        <v>8</v>
      </c>
      <c r="J28" s="153"/>
      <c r="K28" s="30">
        <f>SUBTOTAL(9,K29:K34)</f>
        <v>102453326</v>
      </c>
      <c r="L28" s="30">
        <f>SUBTOTAL(9,L29:L34)</f>
        <v>78726199</v>
      </c>
      <c r="M28" s="520">
        <f t="shared" si="0"/>
        <v>23727127</v>
      </c>
      <c r="N28" s="526">
        <f>SUBTOTAL(9,N29:N34)</f>
        <v>23888187</v>
      </c>
      <c r="O28" s="509"/>
    </row>
    <row r="29" spans="2:15">
      <c r="B29" s="15">
        <v>9</v>
      </c>
      <c r="C29" s="360" t="str">
        <f ca="1">VLOOKUP( $B29, Aop!$A$2:$P$456, 5, 1)</f>
        <v>020, dio 029</v>
      </c>
      <c r="D29" s="563" t="str">
        <f ca="1">VLOOKUP( $B29, Aop!$A$2:$P$456, 6, 1)</f>
        <v xml:space="preserve">    1. Zemljište</v>
      </c>
      <c r="E29" s="564"/>
      <c r="F29" s="564"/>
      <c r="G29" s="564"/>
      <c r="H29" s="565"/>
      <c r="I29" s="122">
        <f ca="1">VLOOKUP( $B29, Aop!$A$2:$P$456, 4, 1)</f>
        <v>9</v>
      </c>
      <c r="J29" s="155"/>
      <c r="K29" s="155">
        <v>17793458</v>
      </c>
      <c r="L29" s="155"/>
      <c r="M29" s="518">
        <f t="shared" si="0"/>
        <v>17793458</v>
      </c>
      <c r="N29" s="526">
        <v>17793458</v>
      </c>
      <c r="O29" s="512"/>
    </row>
    <row r="30" spans="2:15">
      <c r="B30" s="15">
        <v>10</v>
      </c>
      <c r="C30" s="359" t="str">
        <f ca="1">VLOOKUP( $B30, Aop!$A$2:$P$456, 5, 1)</f>
        <v>021, dio 029</v>
      </c>
      <c r="D30" s="557" t="str">
        <f ca="1">VLOOKUP( $B30, Aop!$A$2:$P$456, 6, 1)</f>
        <v xml:space="preserve">    2. Građevinski objekti</v>
      </c>
      <c r="E30" s="558"/>
      <c r="F30" s="558"/>
      <c r="G30" s="558"/>
      <c r="H30" s="559"/>
      <c r="I30" s="123">
        <f ca="1">VLOOKUP( $B30, Aop!$A$2:$P$456, 4, 1)</f>
        <v>10</v>
      </c>
      <c r="J30" s="153"/>
      <c r="K30" s="153">
        <v>81392911</v>
      </c>
      <c r="L30" s="153">
        <v>77839655</v>
      </c>
      <c r="M30" s="519">
        <f t="shared" si="0"/>
        <v>3553256</v>
      </c>
      <c r="N30" s="526">
        <v>3629432</v>
      </c>
      <c r="O30" s="509"/>
    </row>
    <row r="31" spans="2:15">
      <c r="B31" s="15">
        <v>11</v>
      </c>
      <c r="C31" s="360" t="str">
        <f ca="1">VLOOKUP( $B31, Aop!$A$2:$P$456, 5, 1)</f>
        <v>022, dio 029</v>
      </c>
      <c r="D31" s="563" t="str">
        <f ca="1">VLOOKUP( $B31, Aop!$A$2:$P$456, 6, 1)</f>
        <v xml:space="preserve">    3. Postrojenja i oprema</v>
      </c>
      <c r="E31" s="564"/>
      <c r="F31" s="564"/>
      <c r="G31" s="564"/>
      <c r="H31" s="565"/>
      <c r="I31" s="122">
        <f ca="1">VLOOKUP( $B31, Aop!$A$2:$P$456, 4, 1)</f>
        <v>11</v>
      </c>
      <c r="J31" s="155"/>
      <c r="K31" s="155">
        <v>1139336</v>
      </c>
      <c r="L31" s="155">
        <v>654574</v>
      </c>
      <c r="M31" s="518">
        <f t="shared" si="0"/>
        <v>484762</v>
      </c>
      <c r="N31" s="526">
        <v>569646</v>
      </c>
      <c r="O31" s="509"/>
    </row>
    <row r="32" spans="2:15">
      <c r="B32" s="15">
        <v>12</v>
      </c>
      <c r="C32" s="359" t="str">
        <f ca="1">VLOOKUP( $B32, Aop!$A$2:$P$456, 5, 1)</f>
        <v>023, dio 029</v>
      </c>
      <c r="D32" s="557" t="str">
        <f ca="1">VLOOKUP( $B32, Aop!$A$2:$P$456, 6, 1)</f>
        <v xml:space="preserve">    4. Ostale nekretnine, postrojenja i oprema</v>
      </c>
      <c r="E32" s="558"/>
      <c r="F32" s="558"/>
      <c r="G32" s="558"/>
      <c r="H32" s="559"/>
      <c r="I32" s="123">
        <f ca="1">VLOOKUP( $B32, Aop!$A$2:$P$456, 4, 1)</f>
        <v>12</v>
      </c>
      <c r="J32" s="153"/>
      <c r="K32" s="153">
        <v>168283</v>
      </c>
      <c r="L32" s="153"/>
      <c r="M32" s="519">
        <f t="shared" si="0"/>
        <v>168283</v>
      </c>
      <c r="N32" s="526">
        <v>168283</v>
      </c>
      <c r="O32" s="509"/>
    </row>
    <row r="33" spans="2:15">
      <c r="B33" s="15">
        <v>13</v>
      </c>
      <c r="C33" s="360" t="str">
        <f ca="1">VLOOKUP( $B33, Aop!$A$2:$P$456, 5, 1)</f>
        <v>024, dio 029</v>
      </c>
      <c r="D33" s="563" t="str">
        <f ca="1">VLOOKUP( $B33, Aop!$A$2:$P$456, 6, 1)</f>
        <v xml:space="preserve">    5. Ulaganje na tuđim nekretninama, postrojenjima i opremi</v>
      </c>
      <c r="E33" s="564"/>
      <c r="F33" s="564"/>
      <c r="G33" s="564"/>
      <c r="H33" s="565"/>
      <c r="I33" s="122">
        <f ca="1">VLOOKUP( $B33, Aop!$A$2:$P$456, 4, 1)</f>
        <v>13</v>
      </c>
      <c r="J33" s="155"/>
      <c r="K33" s="155"/>
      <c r="L33" s="155"/>
      <c r="M33" s="518">
        <f t="shared" si="0"/>
        <v>0</v>
      </c>
      <c r="N33" s="526"/>
      <c r="O33" s="509"/>
    </row>
    <row r="34" spans="2:15">
      <c r="B34" s="15">
        <v>14</v>
      </c>
      <c r="C34" s="359" t="str">
        <f ca="1">VLOOKUP( $B34, Aop!$A$2:$P$456, 5, 1)</f>
        <v>025, 026, dio 029</v>
      </c>
      <c r="D34" s="557" t="str">
        <f ca="1">VLOOKUP( $B34, Aop!$A$2:$P$456, 6, 1)</f>
        <v xml:space="preserve">    6. Avansi i nekretnine, postrojenja i opremu u pripremi</v>
      </c>
      <c r="E34" s="558"/>
      <c r="F34" s="558"/>
      <c r="G34" s="558"/>
      <c r="H34" s="559"/>
      <c r="I34" s="123">
        <f ca="1">VLOOKUP( $B34, Aop!$A$2:$P$456, 4, 1)</f>
        <v>14</v>
      </c>
      <c r="J34" s="153"/>
      <c r="K34" s="153">
        <v>1959338</v>
      </c>
      <c r="L34" s="153">
        <v>231970</v>
      </c>
      <c r="M34" s="519">
        <f t="shared" si="0"/>
        <v>1727368</v>
      </c>
      <c r="N34" s="526">
        <v>1727368</v>
      </c>
      <c r="O34" s="509"/>
    </row>
    <row r="35" spans="2:15" ht="12.75" customHeight="1">
      <c r="B35" s="15">
        <v>15</v>
      </c>
      <c r="C35" s="360" t="str">
        <f ca="1">VLOOKUP( $B35, Aop!$A$2:$P$456, 5, 1)</f>
        <v>03</v>
      </c>
      <c r="D35" s="584" t="str">
        <f ca="1">VLOOKUP( $B35, Aop!$A$2:$P$456, 6, 1)</f>
        <v xml:space="preserve">  III INVESTICIONE NEKRETNINE</v>
      </c>
      <c r="E35" s="585"/>
      <c r="F35" s="585"/>
      <c r="G35" s="585"/>
      <c r="H35" s="586"/>
      <c r="I35" s="168">
        <f ca="1">VLOOKUP( $B35, Aop!$A$2:$P$456, 4, 1)</f>
        <v>15</v>
      </c>
      <c r="J35" s="155"/>
      <c r="K35" s="203"/>
      <c r="L35" s="203"/>
      <c r="M35" s="514">
        <f t="shared" si="0"/>
        <v>0</v>
      </c>
      <c r="N35" s="526"/>
      <c r="O35" s="509"/>
    </row>
    <row r="36" spans="2:15">
      <c r="B36" s="15">
        <v>16</v>
      </c>
      <c r="C36" s="359" t="str">
        <f ca="1">VLOOKUP( $B36, Aop!$A$2:$P$456, 5, 1)</f>
        <v>04</v>
      </c>
      <c r="D36" s="574" t="str">
        <f ca="1">VLOOKUP( $B36, Aop!$A$2:$P$456, 6, 1)</f>
        <v xml:space="preserve">  IV SREDSTVA UZETA U ZAKUP </v>
      </c>
      <c r="E36" s="575"/>
      <c r="F36" s="575"/>
      <c r="G36" s="575"/>
      <c r="H36" s="576"/>
      <c r="I36" s="169">
        <f ca="1">VLOOKUP( $B36, Aop!$A$2:$P$456, 4, 1)</f>
        <v>16</v>
      </c>
      <c r="J36" s="153"/>
      <c r="K36" s="81"/>
      <c r="L36" s="81"/>
      <c r="M36" s="520">
        <f t="shared" si="0"/>
        <v>0</v>
      </c>
      <c r="N36" s="526"/>
      <c r="O36" s="509"/>
    </row>
    <row r="37" spans="2:15">
      <c r="B37" s="15">
        <v>17</v>
      </c>
      <c r="C37" s="360" t="str">
        <f ca="1">VLOOKUP( $B37, Aop!$A$2:$P$456, 5, 1)</f>
        <v>05</v>
      </c>
      <c r="D37" s="584" t="str">
        <f ca="1">VLOOKUP( $B37, Aop!$A$2:$P$456, 6, 1)</f>
        <v xml:space="preserve">  V BIOLOŠKA SREDSTVA   (018 do 021)</v>
      </c>
      <c r="E37" s="585"/>
      <c r="F37" s="585"/>
      <c r="G37" s="585"/>
      <c r="H37" s="586"/>
      <c r="I37" s="168">
        <f ca="1">VLOOKUP( $B37, Aop!$A$2:$P$456, 4, 1)</f>
        <v>17</v>
      </c>
      <c r="J37" s="155"/>
      <c r="K37" s="32">
        <f>SUBTOTAL(9,K38:K41)</f>
        <v>0</v>
      </c>
      <c r="L37" s="32">
        <f>SUBTOTAL(9,L38:L41)</f>
        <v>0</v>
      </c>
      <c r="M37" s="514">
        <f t="shared" si="0"/>
        <v>0</v>
      </c>
      <c r="N37" s="526">
        <f>SUBTOTAL(9,N38:N41)</f>
        <v>0</v>
      </c>
      <c r="O37" s="509"/>
    </row>
    <row r="38" spans="2:15">
      <c r="B38" s="15">
        <v>18</v>
      </c>
      <c r="C38" s="359" t="str">
        <f ca="1">VLOOKUP( $B38, Aop!$A$2:$P$456, 5, 1)</f>
        <v>050, dio 059</v>
      </c>
      <c r="D38" s="557" t="str">
        <f ca="1">VLOOKUP( $B38, Aop!$A$2:$P$456, 6, 1)</f>
        <v xml:space="preserve">    1. Šume</v>
      </c>
      <c r="E38" s="558"/>
      <c r="F38" s="558"/>
      <c r="G38" s="558"/>
      <c r="H38" s="559"/>
      <c r="I38" s="123">
        <f ca="1">VLOOKUP( $B38, Aop!$A$2:$P$456, 4, 1)</f>
        <v>18</v>
      </c>
      <c r="J38" s="153"/>
      <c r="K38" s="153"/>
      <c r="L38" s="153"/>
      <c r="M38" s="519">
        <f t="shared" si="0"/>
        <v>0</v>
      </c>
      <c r="N38" s="526"/>
      <c r="O38" s="512"/>
    </row>
    <row r="39" spans="2:15">
      <c r="B39" s="15">
        <v>19</v>
      </c>
      <c r="C39" s="360" t="str">
        <f ca="1">VLOOKUP( $B39, Aop!$A$2:$P$456, 5, 1)</f>
        <v>051, dio 059</v>
      </c>
      <c r="D39" s="563" t="str">
        <f ca="1">VLOOKUP( $B39, Aop!$A$2:$P$456, 6, 1)</f>
        <v xml:space="preserve">    2. Višegodišnji zasadi</v>
      </c>
      <c r="E39" s="564"/>
      <c r="F39" s="564"/>
      <c r="G39" s="564"/>
      <c r="H39" s="565"/>
      <c r="I39" s="122">
        <f ca="1">VLOOKUP( $B39, Aop!$A$2:$P$456, 4, 1)</f>
        <v>19</v>
      </c>
      <c r="J39" s="155"/>
      <c r="K39" s="155"/>
      <c r="L39" s="155"/>
      <c r="M39" s="518">
        <f t="shared" si="0"/>
        <v>0</v>
      </c>
      <c r="N39" s="526"/>
      <c r="O39" s="509"/>
    </row>
    <row r="40" spans="2:15">
      <c r="B40" s="15">
        <v>20</v>
      </c>
      <c r="C40" s="359" t="str">
        <f ca="1">VLOOKUP( $B40, Aop!$A$2:$P$456, 5, 1)</f>
        <v>052, 053 dio 059</v>
      </c>
      <c r="D40" s="557" t="str">
        <f ca="1">VLOOKUP( $B40, Aop!$A$2:$P$456, 6, 1)</f>
        <v xml:space="preserve">    3. Osnovno stado i ostala biološka sredstva</v>
      </c>
      <c r="E40" s="558"/>
      <c r="F40" s="558"/>
      <c r="G40" s="558"/>
      <c r="H40" s="559"/>
      <c r="I40" s="123">
        <f ca="1">VLOOKUP( $B40, Aop!$A$2:$P$456, 4, 1)</f>
        <v>20</v>
      </c>
      <c r="J40" s="153"/>
      <c r="K40" s="153"/>
      <c r="L40" s="153"/>
      <c r="M40" s="519">
        <f t="shared" si="0"/>
        <v>0</v>
      </c>
      <c r="N40" s="527"/>
      <c r="O40" s="509"/>
    </row>
    <row r="41" spans="2:15">
      <c r="B41" s="15">
        <v>21</v>
      </c>
      <c r="C41" s="360" t="str">
        <f ca="1">VLOOKUP( $B41, Aop!$A$2:$P$456, 5, 1)</f>
        <v>055, 056 i dio 059</v>
      </c>
      <c r="D41" s="563" t="str">
        <f ca="1">VLOOKUP( $B41, Aop!$A$2:$P$456, 6, 1)</f>
        <v xml:space="preserve">    4. Avansi i biološka sredstva u pripremi </v>
      </c>
      <c r="E41" s="564"/>
      <c r="F41" s="564"/>
      <c r="G41" s="564"/>
      <c r="H41" s="565"/>
      <c r="I41" s="122">
        <f ca="1">VLOOKUP( $B41, Aop!$A$2:$P$456, 4, 1)</f>
        <v>21</v>
      </c>
      <c r="J41" s="155"/>
      <c r="K41" s="155"/>
      <c r="L41" s="155"/>
      <c r="M41" s="518">
        <f t="shared" si="0"/>
        <v>0</v>
      </c>
      <c r="N41" s="526"/>
      <c r="O41" s="509"/>
    </row>
    <row r="42" spans="2:15">
      <c r="B42" s="15">
        <v>22</v>
      </c>
      <c r="C42" s="359">
        <f ca="1">VLOOKUP( $B42, Aop!$A$2:$P$456, 5, 1)</f>
        <v>6</v>
      </c>
      <c r="D42" s="574" t="str">
        <f ca="1">VLOOKUP( $B42, Aop!$A$2:$P$456, 6, 1)</f>
        <v xml:space="preserve">  VI  DUGOROČNI FINANSIJSKI PLASMANI (023+024+025+030+033)</v>
      </c>
      <c r="E42" s="575"/>
      <c r="F42" s="575"/>
      <c r="G42" s="575"/>
      <c r="H42" s="576"/>
      <c r="I42" s="169">
        <f ca="1">VLOOKUP( $B42, Aop!$A$2:$P$456, 4, 1)</f>
        <v>22</v>
      </c>
      <c r="J42" s="153"/>
      <c r="K42" s="31">
        <f>SUBTOTAL(9,K43:K53)</f>
        <v>45642122</v>
      </c>
      <c r="L42" s="31">
        <f>SUBTOTAL(9,L43:L53)</f>
        <v>17085000</v>
      </c>
      <c r="M42" s="520">
        <f t="shared" si="0"/>
        <v>28557122</v>
      </c>
      <c r="N42" s="526">
        <f>N43+N44+N45+N50+N53</f>
        <v>42045620</v>
      </c>
      <c r="O42" s="509"/>
    </row>
    <row r="43" spans="2:15">
      <c r="B43" s="15">
        <v>23</v>
      </c>
      <c r="C43" s="360" t="str">
        <f ca="1">VLOOKUP( $B43, Aop!$A$2:$P$456, 5, 1)</f>
        <v>060, dio 069</v>
      </c>
      <c r="D43" s="563" t="str">
        <f ca="1">VLOOKUP( $B43, Aop!$A$2:$P$456, 6, 1)</f>
        <v xml:space="preserve">    1. Učešće u kapitalu zavisnih subjekata</v>
      </c>
      <c r="E43" s="564"/>
      <c r="F43" s="564"/>
      <c r="G43" s="564"/>
      <c r="H43" s="565"/>
      <c r="I43" s="122">
        <f ca="1">VLOOKUP( $B43, Aop!$A$2:$P$456, 4, 1)</f>
        <v>23</v>
      </c>
      <c r="J43" s="155"/>
      <c r="K43" s="155"/>
      <c r="L43" s="155"/>
      <c r="M43" s="518">
        <f t="shared" si="0"/>
        <v>0</v>
      </c>
      <c r="N43" s="526"/>
      <c r="O43" s="512"/>
    </row>
    <row r="44" spans="2:15">
      <c r="B44" s="15">
        <v>24</v>
      </c>
      <c r="C44" s="359" t="str">
        <f ca="1">VLOOKUP( $B44, Aop!$A$2:$P$456, 5, 1)</f>
        <v>061, dio 069</v>
      </c>
      <c r="D44" s="557" t="str">
        <f ca="1">VLOOKUP( $B44, Aop!$A$2:$P$456, 6, 1)</f>
        <v xml:space="preserve">    2. Učešće u kapitalu pridruženih subjekata i zajedničkih poduhvata</v>
      </c>
      <c r="E44" s="558"/>
      <c r="F44" s="558"/>
      <c r="G44" s="558"/>
      <c r="H44" s="559"/>
      <c r="I44" s="123">
        <f ca="1">VLOOKUP( $B44, Aop!$A$2:$P$456, 4, 1)</f>
        <v>24</v>
      </c>
      <c r="J44" s="153"/>
      <c r="K44" s="153">
        <v>44573622</v>
      </c>
      <c r="L44" s="153">
        <v>17085000</v>
      </c>
      <c r="M44" s="519">
        <f t="shared" si="0"/>
        <v>27488622</v>
      </c>
      <c r="N44" s="526">
        <v>42045620</v>
      </c>
      <c r="O44" s="509"/>
    </row>
    <row r="45" spans="2:15">
      <c r="B45" s="15">
        <v>25</v>
      </c>
      <c r="C45" s="360" t="str">
        <f ca="1">VLOOKUP( $B45, Aop!$A$2:$P$456, 5, 1)</f>
        <v>dio 06</v>
      </c>
      <c r="D45" s="563" t="str">
        <f ca="1">VLOOKUP( $B45, Aop!$A$2:$P$456, 6, 1)</f>
        <v xml:space="preserve">    3. Finansijska sredstva po amortizovanoj vrijednosti (026 do 029)</v>
      </c>
      <c r="E45" s="564"/>
      <c r="F45" s="564"/>
      <c r="G45" s="564"/>
      <c r="H45" s="565"/>
      <c r="I45" s="122">
        <f ca="1">VLOOKUP( $B45, Aop!$A$2:$P$456, 4, 1)</f>
        <v>25</v>
      </c>
      <c r="J45" s="155"/>
      <c r="K45" s="32">
        <f>SUBTOTAL(9,K46:K49)</f>
        <v>868500</v>
      </c>
      <c r="L45" s="32">
        <f>SUBTOTAL(9,L46:L49)</f>
        <v>0</v>
      </c>
      <c r="M45" s="521">
        <f t="shared" si="0"/>
        <v>868500</v>
      </c>
      <c r="N45" s="527">
        <f>SUBTOTAL(9,N46:N49)</f>
        <v>0</v>
      </c>
      <c r="O45" s="509"/>
    </row>
    <row r="46" spans="2:15">
      <c r="B46" s="15">
        <v>26</v>
      </c>
      <c r="C46" s="359" t="str">
        <f ca="1">VLOOKUP( $B46, Aop!$A$2:$P$456, 5, 1)</f>
        <v>062, dio 069</v>
      </c>
      <c r="D46" s="557" t="str">
        <f ca="1">VLOOKUP( $B46, Aop!$A$2:$P$456, 6, 1)</f>
        <v xml:space="preserve">      3.1. Dugoročni krediti povezanim pravnim licima</v>
      </c>
      <c r="E46" s="558"/>
      <c r="F46" s="558"/>
      <c r="G46" s="558"/>
      <c r="H46" s="559"/>
      <c r="I46" s="123">
        <f ca="1">VLOOKUP( $B46, Aop!$A$2:$P$456, 4, 1)</f>
        <v>26</v>
      </c>
      <c r="J46" s="153"/>
      <c r="K46" s="153"/>
      <c r="L46" s="153"/>
      <c r="M46" s="519">
        <f t="shared" si="0"/>
        <v>0</v>
      </c>
      <c r="N46" s="526"/>
      <c r="O46" s="512"/>
    </row>
    <row r="47" spans="2:15">
      <c r="B47" s="15">
        <v>27</v>
      </c>
      <c r="C47" s="360" t="str">
        <f ca="1">VLOOKUP( $B47, Aop!$A$2:$P$456, 5, 1)</f>
        <v>063, dio 069</v>
      </c>
      <c r="D47" s="563" t="str">
        <f ca="1">VLOOKUP( $B47, Aop!$A$2:$P$456, 6, 1)</f>
        <v xml:space="preserve">      3.2. Dugoročni krediti u zemlji</v>
      </c>
      <c r="E47" s="564"/>
      <c r="F47" s="564"/>
      <c r="G47" s="564"/>
      <c r="H47" s="565"/>
      <c r="I47" s="122">
        <f ca="1">VLOOKUP( $B47, Aop!$A$2:$P$456, 4, 1)</f>
        <v>27</v>
      </c>
      <c r="J47" s="155"/>
      <c r="K47" s="155">
        <v>868500</v>
      </c>
      <c r="L47" s="155"/>
      <c r="M47" s="518">
        <f t="shared" si="0"/>
        <v>868500</v>
      </c>
      <c r="N47" s="526"/>
      <c r="O47" s="509"/>
    </row>
    <row r="48" spans="2:15">
      <c r="B48" s="15">
        <v>28</v>
      </c>
      <c r="C48" s="359" t="str">
        <f ca="1">VLOOKUP( $B48, Aop!$A$2:$P$456, 5, 1)</f>
        <v>064, dio 069</v>
      </c>
      <c r="D48" s="557" t="str">
        <f ca="1">VLOOKUP( $B48, Aop!$A$2:$P$456, 6, 1)</f>
        <v xml:space="preserve">      3.3. Dugoročni krediti u inostranstvu</v>
      </c>
      <c r="E48" s="558"/>
      <c r="F48" s="558"/>
      <c r="G48" s="558"/>
      <c r="H48" s="559"/>
      <c r="I48" s="123">
        <f ca="1">VLOOKUP( $B48, Aop!$A$2:$P$456, 4, 1)</f>
        <v>28</v>
      </c>
      <c r="J48" s="153"/>
      <c r="K48" s="153"/>
      <c r="L48" s="153"/>
      <c r="M48" s="519">
        <f t="shared" si="0"/>
        <v>0</v>
      </c>
      <c r="N48" s="526"/>
      <c r="O48" s="509"/>
    </row>
    <row r="49" spans="2:15">
      <c r="B49" s="15">
        <v>29</v>
      </c>
      <c r="C49" s="360" t="str">
        <f ca="1">VLOOKUP( $B49, Aop!$A$2:$P$456, 5, 1)</f>
        <v>065, dio 069</v>
      </c>
      <c r="D49" s="563" t="str">
        <f ca="1">VLOOKUP( $B49, Aop!$A$2:$P$456, 6, 1)</f>
        <v xml:space="preserve">      3.4. Ostala finansijska sredstva po amortizovanoj vrijednosti</v>
      </c>
      <c r="E49" s="564"/>
      <c r="F49" s="564"/>
      <c r="G49" s="564"/>
      <c r="H49" s="565"/>
      <c r="I49" s="122">
        <f ca="1">VLOOKUP( $B49, Aop!$A$2:$P$456, 4, 1)</f>
        <v>29</v>
      </c>
      <c r="J49" s="155"/>
      <c r="K49" s="155"/>
      <c r="L49" s="155"/>
      <c r="M49" s="518">
        <f t="shared" si="0"/>
        <v>0</v>
      </c>
      <c r="N49" s="526"/>
      <c r="O49" s="509"/>
    </row>
    <row r="50" spans="2:15" ht="21.75" customHeight="1">
      <c r="B50" s="15">
        <v>30</v>
      </c>
      <c r="C50" s="359" t="str">
        <f ca="1">VLOOKUP( $B50, Aop!$A$2:$P$456, 5, 1)</f>
        <v>dio 06</v>
      </c>
      <c r="D50" s="557" t="str">
        <f ca="1">VLOOKUP( $B50, Aop!$A$2:$P$456, 6, 1)</f>
        <v xml:space="preserve">    4. Finansijska sredstva po fer vrijednosti kroz ostali ukupan rezultat (031+032)</v>
      </c>
      <c r="E50" s="558"/>
      <c r="F50" s="558"/>
      <c r="G50" s="558"/>
      <c r="H50" s="559"/>
      <c r="I50" s="123">
        <f ca="1">VLOOKUP( $B50, Aop!$A$2:$P$456, 4, 1)</f>
        <v>30</v>
      </c>
      <c r="J50" s="153"/>
      <c r="K50" s="31">
        <f>SUBTOTAL( 9, K51:K52)</f>
        <v>200000</v>
      </c>
      <c r="L50" s="31">
        <f>SUBTOTAL( 9, L51:L52)</f>
        <v>0</v>
      </c>
      <c r="M50" s="520">
        <f t="shared" si="0"/>
        <v>200000</v>
      </c>
      <c r="N50" s="526">
        <f>SUBTOTAL( 9, N51:N52)</f>
        <v>0</v>
      </c>
      <c r="O50" s="509"/>
    </row>
    <row r="51" spans="2:15">
      <c r="B51" s="15">
        <v>31</v>
      </c>
      <c r="C51" s="360" t="str">
        <f ca="1">VLOOKUP( $B51, Aop!$A$2:$P$456, 5, 1)</f>
        <v>066, dio 069</v>
      </c>
      <c r="D51" s="563" t="str">
        <f ca="1">VLOOKUP( $B51, Aop!$A$2:$P$456, 6, 1)</f>
        <v xml:space="preserve">      4.1. Vlasnički instrumenti</v>
      </c>
      <c r="E51" s="564"/>
      <c r="F51" s="564"/>
      <c r="G51" s="564"/>
      <c r="H51" s="565"/>
      <c r="I51" s="122">
        <f ca="1">VLOOKUP( $B51, Aop!$A$2:$P$456, 4, 1)</f>
        <v>31</v>
      </c>
      <c r="J51" s="155"/>
      <c r="K51" s="155"/>
      <c r="L51" s="155"/>
      <c r="M51" s="518">
        <f t="shared" si="0"/>
        <v>0</v>
      </c>
      <c r="N51" s="526"/>
      <c r="O51" s="512"/>
    </row>
    <row r="52" spans="2:15">
      <c r="B52" s="15">
        <v>32</v>
      </c>
      <c r="C52" s="359" t="str">
        <f ca="1">VLOOKUP( $B52, Aop!$A$2:$P$456, 5, 1)</f>
        <v>067, dio 069</v>
      </c>
      <c r="D52" s="557" t="str">
        <f ca="1">VLOOKUP( $B52, Aop!$A$2:$P$456, 6, 1)</f>
        <v xml:space="preserve">      4.2. Dužnički instrumenti</v>
      </c>
      <c r="E52" s="558"/>
      <c r="F52" s="558"/>
      <c r="G52" s="558"/>
      <c r="H52" s="559"/>
      <c r="I52" s="123">
        <f ca="1">VLOOKUP( $B52, Aop!$A$2:$P$456, 4, 1)</f>
        <v>32</v>
      </c>
      <c r="J52" s="153"/>
      <c r="K52" s="153">
        <v>200000</v>
      </c>
      <c r="L52" s="153"/>
      <c r="M52" s="519">
        <f t="shared" si="0"/>
        <v>200000</v>
      </c>
      <c r="N52" s="526"/>
      <c r="O52" s="509"/>
    </row>
    <row r="53" spans="2:15">
      <c r="B53" s="15">
        <v>33</v>
      </c>
      <c r="C53" s="360" t="str">
        <f ca="1">VLOOKUP( $B53, Aop!$A$2:$P$456, 5, 1)</f>
        <v>068, dio 069</v>
      </c>
      <c r="D53" s="563" t="str">
        <f ca="1">VLOOKUP( $B53, Aop!$A$2:$P$456, 6, 1)</f>
        <v xml:space="preserve">    5. Potraživanja po finansijskom lizingu</v>
      </c>
      <c r="E53" s="564"/>
      <c r="F53" s="564"/>
      <c r="G53" s="564"/>
      <c r="H53" s="565"/>
      <c r="I53" s="122">
        <f ca="1">VLOOKUP( $B53, Aop!$A$2:$P$456, 4, 1)</f>
        <v>33</v>
      </c>
      <c r="J53" s="155"/>
      <c r="K53" s="155"/>
      <c r="L53" s="155"/>
      <c r="M53" s="518">
        <f t="shared" si="0"/>
        <v>0</v>
      </c>
      <c r="N53" s="526"/>
      <c r="O53" s="509"/>
    </row>
    <row r="54" spans="2:15">
      <c r="B54" s="15">
        <v>34</v>
      </c>
      <c r="C54" s="359" t="str">
        <f ca="1">VLOOKUP( $B54, Aop!$A$2:$P$456, 5, 1)</f>
        <v>07 i 08</v>
      </c>
      <c r="D54" s="574" t="str">
        <f ca="1">VLOOKUP( $B54, Aop!$A$2:$P$456, 6, 1)</f>
        <v xml:space="preserve">  VII OSTALA DUGOROČNA SREDSTVA I RAZGRANIČENJA</v>
      </c>
      <c r="E54" s="575"/>
      <c r="F54" s="575"/>
      <c r="G54" s="575"/>
      <c r="H54" s="576"/>
      <c r="I54" s="169">
        <f ca="1">VLOOKUP( $B54, Aop!$A$2:$P$456, 4, 1)</f>
        <v>34</v>
      </c>
      <c r="J54" s="153"/>
      <c r="K54" s="81"/>
      <c r="L54" s="81"/>
      <c r="M54" s="520">
        <f t="shared" si="0"/>
        <v>0</v>
      </c>
      <c r="N54" s="526"/>
      <c r="O54" s="509"/>
    </row>
    <row r="55" spans="2:15">
      <c r="B55" s="15">
        <v>35</v>
      </c>
      <c r="C55" s="360">
        <f ca="1">VLOOKUP( $B55, Aop!$A$2:$P$456, 5, 1)</f>
        <v>90</v>
      </c>
      <c r="D55" s="584" t="str">
        <f ca="1">VLOOKUP( $B55, Aop!$A$2:$P$456, 6, 1)</f>
        <v xml:space="preserve">  B. ODLOŽENA PORESKA SREDSTVA</v>
      </c>
      <c r="E55" s="585"/>
      <c r="F55" s="585"/>
      <c r="G55" s="585"/>
      <c r="H55" s="586"/>
      <c r="I55" s="168">
        <f ca="1">VLOOKUP( $B55, Aop!$A$2:$P$456, 4, 1)</f>
        <v>35</v>
      </c>
      <c r="J55" s="155"/>
      <c r="K55" s="203"/>
      <c r="L55" s="203"/>
      <c r="M55" s="514">
        <f t="shared" si="0"/>
        <v>0</v>
      </c>
      <c r="N55" s="526"/>
      <c r="O55" s="509"/>
    </row>
    <row r="56" spans="2:15">
      <c r="B56" s="15">
        <v>36</v>
      </c>
      <c r="C56" s="359" t="str">
        <f ca="1">VLOOKUP( $B56, Aop!$A$2:$P$456, 5, 1)</f>
        <v xml:space="preserve"> </v>
      </c>
      <c r="D56" s="574" t="str">
        <f ca="1">VLOOKUP( $B56, Aop!$A$2:$P$456, 6, 1)</f>
        <v xml:space="preserve">  V. TEKUĆA SREDSTVA (037+044)</v>
      </c>
      <c r="E56" s="575"/>
      <c r="F56" s="575"/>
      <c r="G56" s="575"/>
      <c r="H56" s="576"/>
      <c r="I56" s="169">
        <f ca="1">VLOOKUP( $B56, Aop!$A$2:$P$456, 4, 1)</f>
        <v>36</v>
      </c>
      <c r="J56" s="153"/>
      <c r="K56" s="31">
        <f>SUBTOTAL( 9, K57:K85)</f>
        <v>19252652</v>
      </c>
      <c r="L56" s="31">
        <f>SUBTOTAL( 9, L57:L85)</f>
        <v>0</v>
      </c>
      <c r="M56" s="520">
        <f t="shared" si="0"/>
        <v>19252652</v>
      </c>
      <c r="N56" s="526">
        <f>N57+N64</f>
        <v>19023811</v>
      </c>
      <c r="O56" s="509"/>
    </row>
    <row r="57" spans="2:15" ht="25.5" customHeight="1">
      <c r="B57" s="15">
        <v>37</v>
      </c>
      <c r="C57" s="360" t="str">
        <f ca="1">VLOOKUP( $B57, Aop!$A$2:$P$456, 5, 1)</f>
        <v>10 do 15</v>
      </c>
      <c r="D57" s="584" t="str">
        <f ca="1">VLOOKUP( $B57, Aop!$A$2:$P$456, 6, 1)</f>
        <v xml:space="preserve">  I   ZALIHE, STALNA SREDSTVA NAMIJENJENA PRODAJI I SREDSTVA POSLOVANJA KOJE SE OBUSTAVLJA (038 do 043)</v>
      </c>
      <c r="E57" s="585"/>
      <c r="F57" s="585"/>
      <c r="G57" s="585"/>
      <c r="H57" s="586"/>
      <c r="I57" s="168">
        <f ca="1">VLOOKUP( $B57, Aop!$A$2:$P$456, 4, 1)</f>
        <v>37</v>
      </c>
      <c r="J57" s="155"/>
      <c r="K57" s="67">
        <f>SUBTOTAL(9,K58:K63)</f>
        <v>216586</v>
      </c>
      <c r="L57" s="394">
        <f>SUBTOTAL(9,L58:L63)</f>
        <v>0</v>
      </c>
      <c r="M57" s="514">
        <f t="shared" si="0"/>
        <v>216586</v>
      </c>
      <c r="N57" s="526">
        <f>SUBTOTAL(9,N58:N63)</f>
        <v>213825</v>
      </c>
      <c r="O57" s="512"/>
    </row>
    <row r="58" spans="2:15">
      <c r="B58" s="15">
        <v>38</v>
      </c>
      <c r="C58" s="359" t="str">
        <f ca="1">VLOOKUP( $B58, Aop!$A$2:$P$456, 5, 1)</f>
        <v>100 do 109</v>
      </c>
      <c r="D58" s="557" t="str">
        <f ca="1">VLOOKUP( $B58, Aop!$A$2:$P$456, 6, 1)</f>
        <v xml:space="preserve">    1. Zalihe materijala</v>
      </c>
      <c r="E58" s="558"/>
      <c r="F58" s="558"/>
      <c r="G58" s="558"/>
      <c r="H58" s="559"/>
      <c r="I58" s="123">
        <f ca="1">VLOOKUP( $B58, Aop!$A$2:$P$456, 4, 1)</f>
        <v>38</v>
      </c>
      <c r="J58" s="153"/>
      <c r="K58" s="153"/>
      <c r="L58" s="153"/>
      <c r="M58" s="519">
        <f t="shared" si="0"/>
        <v>0</v>
      </c>
      <c r="N58" s="526"/>
      <c r="O58" s="512"/>
    </row>
    <row r="59" spans="2:15">
      <c r="B59" s="15">
        <v>39</v>
      </c>
      <c r="C59" s="360" t="str">
        <f ca="1">VLOOKUP( $B59, Aop!$A$2:$P$456, 5, 1)</f>
        <v>110 do 119</v>
      </c>
      <c r="D59" s="563" t="str">
        <f ca="1">VLOOKUP( $B59, Aop!$A$2:$P$456, 6, 1)</f>
        <v xml:space="preserve">    2. Zalihe nedovršene proizvodnje, poluproizvoda i nedovršenih usluga</v>
      </c>
      <c r="E59" s="564"/>
      <c r="F59" s="564"/>
      <c r="G59" s="564"/>
      <c r="H59" s="565"/>
      <c r="I59" s="122">
        <f ca="1">VLOOKUP( $B59, Aop!$A$2:$P$456, 4, 1)</f>
        <v>39</v>
      </c>
      <c r="J59" s="155"/>
      <c r="K59" s="155"/>
      <c r="L59" s="155"/>
      <c r="M59" s="518">
        <f t="shared" si="0"/>
        <v>0</v>
      </c>
      <c r="N59" s="526"/>
      <c r="O59" s="509"/>
    </row>
    <row r="60" spans="2:15">
      <c r="B60" s="15">
        <v>40</v>
      </c>
      <c r="C60" s="359" t="str">
        <f ca="1">VLOOKUP( $B60, Aop!$A$2:$P$456, 5, 1)</f>
        <v>120 do 129</v>
      </c>
      <c r="D60" s="557" t="str">
        <f ca="1">VLOOKUP( $B60, Aop!$A$2:$P$456, 6, 1)</f>
        <v xml:space="preserve">    3. Zalihe gotovih proizvoda</v>
      </c>
      <c r="E60" s="558"/>
      <c r="F60" s="558"/>
      <c r="G60" s="558"/>
      <c r="H60" s="559"/>
      <c r="I60" s="123">
        <f ca="1">VLOOKUP( $B60, Aop!$A$2:$P$456, 4, 1)</f>
        <v>40</v>
      </c>
      <c r="J60" s="153"/>
      <c r="K60" s="153">
        <v>92854</v>
      </c>
      <c r="L60" s="153"/>
      <c r="M60" s="519">
        <f t="shared" si="0"/>
        <v>92854</v>
      </c>
      <c r="N60" s="526">
        <v>92854</v>
      </c>
      <c r="O60" s="509"/>
    </row>
    <row r="61" spans="2:15" s="27" customFormat="1">
      <c r="B61" s="15">
        <v>41</v>
      </c>
      <c r="C61" s="360" t="str">
        <f ca="1">VLOOKUP( $B61, Aop!$A$2:$P$456, 5, 1)</f>
        <v>130 do 139</v>
      </c>
      <c r="D61" s="563" t="str">
        <f ca="1">VLOOKUP( $B61, Aop!$A$2:$P$456, 6, 1)</f>
        <v xml:space="preserve">    4. Zalihe robe</v>
      </c>
      <c r="E61" s="564"/>
      <c r="F61" s="564"/>
      <c r="G61" s="564"/>
      <c r="H61" s="565"/>
      <c r="I61" s="122">
        <f ca="1">VLOOKUP( $B61, Aop!$A$2:$P$456, 4, 1)</f>
        <v>41</v>
      </c>
      <c r="J61" s="155"/>
      <c r="K61" s="155">
        <v>112173</v>
      </c>
      <c r="L61" s="155"/>
      <c r="M61" s="518">
        <f t="shared" si="0"/>
        <v>112173</v>
      </c>
      <c r="N61" s="526">
        <v>112173</v>
      </c>
      <c r="O61" s="509"/>
    </row>
    <row r="62" spans="2:15">
      <c r="B62" s="15">
        <v>42</v>
      </c>
      <c r="C62" s="359" t="str">
        <f ca="1">VLOOKUP( $B62, Aop!$A$2:$P$456, 5, 1)</f>
        <v>140 do 149</v>
      </c>
      <c r="D62" s="557" t="str">
        <f ca="1">VLOOKUP( $B62, Aop!$A$2:$P$456, 6, 1)</f>
        <v xml:space="preserve">    5. Stalna sredstva namijenjena prodaji i sredstva poslovanja koje se obustavlja</v>
      </c>
      <c r="E62" s="558"/>
      <c r="F62" s="558"/>
      <c r="G62" s="558"/>
      <c r="H62" s="559"/>
      <c r="I62" s="123">
        <f ca="1">VLOOKUP( $B62, Aop!$A$2:$P$456, 4, 1)</f>
        <v>42</v>
      </c>
      <c r="J62" s="153"/>
      <c r="K62" s="153"/>
      <c r="L62" s="153"/>
      <c r="M62" s="519">
        <f t="shared" si="0"/>
        <v>0</v>
      </c>
      <c r="N62" s="526"/>
      <c r="O62" s="509"/>
    </row>
    <row r="63" spans="2:15">
      <c r="B63" s="15">
        <v>43</v>
      </c>
      <c r="C63" s="360" t="str">
        <f ca="1">VLOOKUP( $B63, Aop!$A$2:$P$456, 5, 1)</f>
        <v>150 do 159</v>
      </c>
      <c r="D63" s="563" t="str">
        <f ca="1">VLOOKUP( $B63, Aop!$A$2:$P$456, 6, 1)</f>
        <v xml:space="preserve">    6. Dati avansi</v>
      </c>
      <c r="E63" s="564"/>
      <c r="F63" s="564"/>
      <c r="G63" s="564"/>
      <c r="H63" s="565"/>
      <c r="I63" s="122">
        <f ca="1">VLOOKUP( $B63, Aop!$A$2:$P$456, 4, 1)</f>
        <v>43</v>
      </c>
      <c r="J63" s="155"/>
      <c r="K63" s="155">
        <v>11559</v>
      </c>
      <c r="L63" s="155"/>
      <c r="M63" s="518">
        <f t="shared" si="0"/>
        <v>11559</v>
      </c>
      <c r="N63" s="526">
        <v>8798</v>
      </c>
      <c r="O63" s="509"/>
    </row>
    <row r="64" spans="2:15" ht="23.25" customHeight="1">
      <c r="B64" s="15">
        <v>44</v>
      </c>
      <c r="C64" s="359" t="str">
        <f ca="1">VLOOKUP( $B64, Aop!$A$2:$P$456, 5, 1)</f>
        <v xml:space="preserve"> </v>
      </c>
      <c r="D64" s="574" t="str">
        <f ca="1">VLOOKUP( $B64, Aop!$A$2:$P$456, 6, 1)</f>
        <v xml:space="preserve">  II  KRATKOROČNA SREDSTVA IZUZEV ZALIHA I STALNIH SREDSTAVA NAMIJENJENIH PRODAJI (045+052+061+064+065)</v>
      </c>
      <c r="E64" s="575"/>
      <c r="F64" s="575"/>
      <c r="G64" s="575"/>
      <c r="H64" s="576"/>
      <c r="I64" s="169">
        <f ca="1">VLOOKUP( $B64, Aop!$A$2:$P$456, 4, 1)</f>
        <v>44</v>
      </c>
      <c r="J64" s="153"/>
      <c r="K64" s="31">
        <f>SUBTOTAL(9,K65:K85)</f>
        <v>19036066</v>
      </c>
      <c r="L64" s="31">
        <f>SUBTOTAL(9,L65:L85)</f>
        <v>0</v>
      </c>
      <c r="M64" s="520">
        <f t="shared" si="0"/>
        <v>19036066</v>
      </c>
      <c r="N64" s="526">
        <f>N72+N81+N84+N85+N65</f>
        <v>18809986</v>
      </c>
      <c r="O64" s="509"/>
    </row>
    <row r="65" spans="2:15">
      <c r="B65" s="15">
        <v>45</v>
      </c>
      <c r="C65" s="360" t="str">
        <f ca="1">VLOOKUP( $B65, Aop!$A$2:$P$456, 5, 1)</f>
        <v xml:space="preserve"> </v>
      </c>
      <c r="D65" s="563" t="str">
        <f ca="1">VLOOKUP( $B65, Aop!$A$2:$P$456, 6, 1)</f>
        <v xml:space="preserve">    1. Kratkoročna potraživanja (046 do 051)</v>
      </c>
      <c r="E65" s="564"/>
      <c r="F65" s="564"/>
      <c r="G65" s="564"/>
      <c r="H65" s="565"/>
      <c r="I65" s="122">
        <f ca="1">VLOOKUP( $B65, Aop!$A$2:$P$456, 4, 1)</f>
        <v>45</v>
      </c>
      <c r="J65" s="155"/>
      <c r="K65" s="67">
        <f>SUBTOTAL(9,K66:K71)</f>
        <v>336017</v>
      </c>
      <c r="L65" s="67">
        <f>SUBTOTAL(9,L66:L71)</f>
        <v>0</v>
      </c>
      <c r="M65" s="522">
        <f t="shared" si="0"/>
        <v>336017</v>
      </c>
      <c r="N65" s="526">
        <f>SUM(N66:N71)</f>
        <v>770834</v>
      </c>
      <c r="O65" s="512"/>
    </row>
    <row r="66" spans="2:15">
      <c r="B66" s="15">
        <v>46</v>
      </c>
      <c r="C66" s="359" t="str">
        <f ca="1">VLOOKUP( $B66, Aop!$A$2:$P$456, 5, 1)</f>
        <v>200, dio 209</v>
      </c>
      <c r="D66" s="557" t="str">
        <f ca="1">VLOOKUP( $B66, Aop!$A$2:$P$456, 6, 1)</f>
        <v xml:space="preserve">      1.1. Kupci - povezana pravna lica</v>
      </c>
      <c r="E66" s="558"/>
      <c r="F66" s="558"/>
      <c r="G66" s="558"/>
      <c r="H66" s="559"/>
      <c r="I66" s="123">
        <f ca="1">VLOOKUP( $B66, Aop!$A$2:$P$456, 4, 1)</f>
        <v>46</v>
      </c>
      <c r="J66" s="153"/>
      <c r="K66" s="153">
        <v>140687</v>
      </c>
      <c r="L66" s="153"/>
      <c r="M66" s="519">
        <f t="shared" si="0"/>
        <v>140687</v>
      </c>
      <c r="N66" s="526">
        <v>102633</v>
      </c>
      <c r="O66" s="512"/>
    </row>
    <row r="67" spans="2:15">
      <c r="B67" s="15">
        <v>47</v>
      </c>
      <c r="C67" s="360" t="str">
        <f ca="1">VLOOKUP( $B67, Aop!$A$2:$P$456, 5, 1)</f>
        <v>201, 202, 203, dio 209</v>
      </c>
      <c r="D67" s="563" t="str">
        <f ca="1">VLOOKUP( $B67, Aop!$A$2:$P$456, 6, 1)</f>
        <v xml:space="preserve">      1.2. Kupci u zemlji</v>
      </c>
      <c r="E67" s="564"/>
      <c r="F67" s="564"/>
      <c r="G67" s="564"/>
      <c r="H67" s="565"/>
      <c r="I67" s="122">
        <f ca="1">VLOOKUP( $B67, Aop!$A$2:$P$456, 4, 1)</f>
        <v>47</v>
      </c>
      <c r="J67" s="155"/>
      <c r="K67" s="513">
        <v>187234</v>
      </c>
      <c r="L67" s="155"/>
      <c r="M67" s="518">
        <f t="shared" si="0"/>
        <v>187234</v>
      </c>
      <c r="N67" s="526">
        <v>658717</v>
      </c>
      <c r="O67" s="509"/>
    </row>
    <row r="68" spans="2:15">
      <c r="B68" s="15">
        <v>48</v>
      </c>
      <c r="C68" s="359" t="str">
        <f ca="1">VLOOKUP( $B68, Aop!$A$2:$P$456, 5, 1)</f>
        <v>204, dio 209</v>
      </c>
      <c r="D68" s="557" t="str">
        <f ca="1">VLOOKUP( $B68, Aop!$A$2:$P$456, 6, 1)</f>
        <v xml:space="preserve">      1.3. Kupci iz inostranstva</v>
      </c>
      <c r="E68" s="558"/>
      <c r="F68" s="558"/>
      <c r="G68" s="558"/>
      <c r="H68" s="559"/>
      <c r="I68" s="123">
        <f ca="1">VLOOKUP( $B68, Aop!$A$2:$P$456, 4, 1)</f>
        <v>48</v>
      </c>
      <c r="J68" s="153"/>
      <c r="K68" s="153"/>
      <c r="L68" s="153"/>
      <c r="M68" s="519">
        <f t="shared" si="0"/>
        <v>0</v>
      </c>
      <c r="N68" s="526"/>
      <c r="O68" s="509"/>
    </row>
    <row r="69" spans="2:15">
      <c r="B69" s="15">
        <v>49</v>
      </c>
      <c r="C69" s="360" t="str">
        <f ca="1">VLOOKUP( $B69, Aop!$A$2:$P$456, 5, 1)</f>
        <v>grupa 21, osim 214</v>
      </c>
      <c r="D69" s="563" t="str">
        <f ca="1">VLOOKUP( $B69, Aop!$A$2:$P$456, 6, 1)</f>
        <v xml:space="preserve">      1.4.Potraživanja iz specifičnih poslova</v>
      </c>
      <c r="E69" s="564"/>
      <c r="F69" s="564"/>
      <c r="G69" s="564"/>
      <c r="H69" s="565"/>
      <c r="I69" s="122">
        <f ca="1">VLOOKUP( $B69, Aop!$A$2:$P$456, 4, 1)</f>
        <v>49</v>
      </c>
      <c r="J69" s="155"/>
      <c r="K69" s="155"/>
      <c r="L69" s="155"/>
      <c r="M69" s="518">
        <f t="shared" si="0"/>
        <v>0</v>
      </c>
      <c r="N69" s="526"/>
      <c r="O69" s="509"/>
    </row>
    <row r="70" spans="2:15">
      <c r="B70" s="15">
        <v>50</v>
      </c>
      <c r="C70" s="359" t="str">
        <f ca="1">VLOOKUP( $B70, Aop!$A$2:$P$456, 5, 1)</f>
        <v>grupa 22, osim 224</v>
      </c>
      <c r="D70" s="557" t="str">
        <f ca="1">VLOOKUP( $B70, Aop!$A$2:$P$456, 6, 1)</f>
        <v xml:space="preserve">      1.5. Ostala kratkoročna potraživanja</v>
      </c>
      <c r="E70" s="558"/>
      <c r="F70" s="558"/>
      <c r="G70" s="558"/>
      <c r="H70" s="559"/>
      <c r="I70" s="123">
        <f ca="1">VLOOKUP( $B70, Aop!$A$2:$P$456, 4, 1)</f>
        <v>50</v>
      </c>
      <c r="J70" s="153"/>
      <c r="K70" s="153">
        <v>8096</v>
      </c>
      <c r="L70" s="153"/>
      <c r="M70" s="519">
        <f t="shared" si="0"/>
        <v>8096</v>
      </c>
      <c r="N70" s="526">
        <v>9484</v>
      </c>
      <c r="O70" s="509"/>
    </row>
    <row r="71" spans="2:15">
      <c r="B71" s="15">
        <v>51</v>
      </c>
      <c r="C71" s="360">
        <f ca="1">VLOOKUP( $B71, Aop!$A$2:$P$456, 5, 1)</f>
        <v>224</v>
      </c>
      <c r="D71" s="563" t="str">
        <f ca="1">VLOOKUP( $B71, Aop!$A$2:$P$456, 6, 1)</f>
        <v xml:space="preserve">      1.6. Potraživanja za više plaćen porez na dobit</v>
      </c>
      <c r="E71" s="564"/>
      <c r="F71" s="564"/>
      <c r="G71" s="564"/>
      <c r="H71" s="565"/>
      <c r="I71" s="122">
        <f ca="1">VLOOKUP( $B71, Aop!$A$2:$P$456, 4, 1)</f>
        <v>51</v>
      </c>
      <c r="J71" s="155"/>
      <c r="K71" s="155"/>
      <c r="L71" s="155"/>
      <c r="M71" s="518">
        <f t="shared" si="0"/>
        <v>0</v>
      </c>
      <c r="N71" s="526"/>
      <c r="O71" s="509"/>
    </row>
    <row r="72" spans="2:15">
      <c r="B72" s="15">
        <v>52</v>
      </c>
      <c r="C72" s="359" t="str">
        <f ca="1">VLOOKUP( $B72, Aop!$A$2:$P$456, 5, 1)</f>
        <v xml:space="preserve"> </v>
      </c>
      <c r="D72" s="557" t="str">
        <f ca="1">VLOOKUP( $B72, Aop!$A$2:$P$456, 6, 1)</f>
        <v xml:space="preserve">    2. Kratkoročni finansijski plasmani ( 053 + 058 + 059 + 060)</v>
      </c>
      <c r="E72" s="558"/>
      <c r="F72" s="558"/>
      <c r="G72" s="558"/>
      <c r="H72" s="559"/>
      <c r="I72" s="123">
        <f ca="1">VLOOKUP( $B72, Aop!$A$2:$P$456, 4, 1)</f>
        <v>52</v>
      </c>
      <c r="J72" s="153"/>
      <c r="K72" s="31">
        <f>SUBTOTAL(9,K73:K80)</f>
        <v>0</v>
      </c>
      <c r="L72" s="31">
        <f>SUBTOTAL(9,L73:L80)</f>
        <v>0</v>
      </c>
      <c r="M72" s="520">
        <f t="shared" si="0"/>
        <v>0</v>
      </c>
      <c r="N72" s="526">
        <f>SUBTOTAL(9,N73:N80)</f>
        <v>16068500</v>
      </c>
      <c r="O72" s="509"/>
    </row>
    <row r="73" spans="2:15">
      <c r="B73" s="15">
        <v>53</v>
      </c>
      <c r="C73" s="360" t="str">
        <f ca="1">VLOOKUP( $B73, Aop!$A$2:$P$456, 5, 1)</f>
        <v xml:space="preserve"> </v>
      </c>
      <c r="D73" s="563" t="str">
        <f ca="1">VLOOKUP( $B73, Aop!$A$2:$P$456, 6, 1)</f>
        <v xml:space="preserve">      2.1. Finansijska sredstva po amortizovanoj vrijednosti (054 do 057)</v>
      </c>
      <c r="E73" s="564"/>
      <c r="F73" s="564"/>
      <c r="G73" s="564"/>
      <c r="H73" s="565"/>
      <c r="I73" s="122">
        <f ca="1">VLOOKUP( $B73, Aop!$A$2:$P$456, 4, 1)</f>
        <v>53</v>
      </c>
      <c r="J73" s="155"/>
      <c r="K73" s="32">
        <f>SUBTOTAL(9,K74:K80)</f>
        <v>0</v>
      </c>
      <c r="L73" s="32">
        <f>SUBTOTAL(9,L74:L80)</f>
        <v>0</v>
      </c>
      <c r="M73" s="522">
        <f t="shared" si="0"/>
        <v>0</v>
      </c>
      <c r="N73" s="526">
        <f>SUBTOTAL(9,N74:N77)</f>
        <v>16068500</v>
      </c>
      <c r="O73" s="512"/>
    </row>
    <row r="74" spans="2:15">
      <c r="B74" s="15">
        <v>54</v>
      </c>
      <c r="C74" s="359" t="str">
        <f ca="1">VLOOKUP( $B74, Aop!$A$2:$P$456, 5, 1)</f>
        <v>230, dio 238</v>
      </c>
      <c r="D74" s="557" t="str">
        <f ca="1">VLOOKUP( $B74, Aop!$A$2:$P$456, 6, 1)</f>
        <v xml:space="preserve">        a) Kratkoročni krediti povezanim pravnim licima</v>
      </c>
      <c r="E74" s="558"/>
      <c r="F74" s="558"/>
      <c r="G74" s="558"/>
      <c r="H74" s="559"/>
      <c r="I74" s="123">
        <f ca="1">VLOOKUP( $B74, Aop!$A$2:$P$456, 4, 1)</f>
        <v>54</v>
      </c>
      <c r="J74" s="153"/>
      <c r="K74" s="153"/>
      <c r="L74" s="153"/>
      <c r="M74" s="519">
        <f t="shared" si="0"/>
        <v>0</v>
      </c>
      <c r="N74" s="526"/>
      <c r="O74" s="577"/>
    </row>
    <row r="75" spans="2:15">
      <c r="B75" s="15">
        <v>55</v>
      </c>
      <c r="C75" s="360" t="str">
        <f ca="1">VLOOKUP( $B75, Aop!$A$2:$P$456, 5, 1)</f>
        <v>231, dio 238</v>
      </c>
      <c r="D75" s="563" t="str">
        <f ca="1">VLOOKUP( $B75, Aop!$A$2:$P$456, 6, 1)</f>
        <v xml:space="preserve">        b) Kratkoročni krediti u zemlji</v>
      </c>
      <c r="E75" s="564"/>
      <c r="F75" s="564"/>
      <c r="G75" s="564"/>
      <c r="H75" s="565"/>
      <c r="I75" s="122">
        <f ca="1">VLOOKUP( $B75, Aop!$A$2:$P$456, 4, 1)</f>
        <v>55</v>
      </c>
      <c r="J75" s="155"/>
      <c r="K75" s="155"/>
      <c r="L75" s="155"/>
      <c r="M75" s="518">
        <f t="shared" si="0"/>
        <v>0</v>
      </c>
      <c r="N75" s="526">
        <v>1068500</v>
      </c>
      <c r="O75" s="577"/>
    </row>
    <row r="76" spans="2:15">
      <c r="B76" s="15">
        <v>56</v>
      </c>
      <c r="C76" s="359" t="str">
        <f ca="1">VLOOKUP( $B76, Aop!$A$2:$P$456, 5, 1)</f>
        <v>232, dio 238</v>
      </c>
      <c r="D76" s="557" t="str">
        <f ca="1">VLOOKUP( $B76, Aop!$A$2:$P$456, 6, 1)</f>
        <v xml:space="preserve">        c) Kratkoročni krediti u inostranstvu</v>
      </c>
      <c r="E76" s="558"/>
      <c r="F76" s="558"/>
      <c r="G76" s="558"/>
      <c r="H76" s="559"/>
      <c r="I76" s="123">
        <f ca="1">VLOOKUP( $B76, Aop!$A$2:$P$456, 4, 1)</f>
        <v>56</v>
      </c>
      <c r="J76" s="153"/>
      <c r="K76" s="153"/>
      <c r="L76" s="153"/>
      <c r="M76" s="519">
        <f t="shared" si="0"/>
        <v>0</v>
      </c>
      <c r="N76" s="526"/>
      <c r="O76" s="509"/>
    </row>
    <row r="77" spans="2:15">
      <c r="B77" s="15">
        <v>57</v>
      </c>
      <c r="C77" s="360" t="str">
        <f ca="1">VLOOKUP( $B77, Aop!$A$2:$P$456, 5, 1)</f>
        <v>233, dio 238</v>
      </c>
      <c r="D77" s="563" t="str">
        <f ca="1">VLOOKUP( $B77, Aop!$A$2:$P$456, 6, 1)</f>
        <v xml:space="preserve">        d) Ostala finansijska sredstva po amortizovanoj vrijednosti</v>
      </c>
      <c r="E77" s="564"/>
      <c r="F77" s="564"/>
      <c r="G77" s="564"/>
      <c r="H77" s="565"/>
      <c r="I77" s="122">
        <f ca="1">VLOOKUP( $B77, Aop!$A$2:$P$456, 4, 1)</f>
        <v>57</v>
      </c>
      <c r="J77" s="155"/>
      <c r="K77" s="155"/>
      <c r="L77" s="155"/>
      <c r="M77" s="518">
        <f t="shared" si="0"/>
        <v>0</v>
      </c>
      <c r="N77" s="526">
        <v>15000000</v>
      </c>
      <c r="O77" s="509"/>
    </row>
    <row r="78" spans="2:15">
      <c r="B78" s="15">
        <v>58</v>
      </c>
      <c r="C78" s="359" t="str">
        <f ca="1">VLOOKUP( $B78, Aop!$A$2:$P$456, 5, 1)</f>
        <v>235 i 236</v>
      </c>
      <c r="D78" s="557" t="str">
        <f ca="1">VLOOKUP( $B78, Aop!$A$2:$P$456, 6, 1)</f>
        <v xml:space="preserve">      2.2. Finansijska sredstva po fer vrijednosti kroz bilans uspjeha</v>
      </c>
      <c r="E78" s="558"/>
      <c r="F78" s="558"/>
      <c r="G78" s="558"/>
      <c r="H78" s="559"/>
      <c r="I78" s="123">
        <f ca="1">VLOOKUP( $B78, Aop!$A$2:$P$456, 4, 1)</f>
        <v>58</v>
      </c>
      <c r="J78" s="153"/>
      <c r="K78" s="153"/>
      <c r="L78" s="153"/>
      <c r="M78" s="519">
        <f t="shared" si="0"/>
        <v>0</v>
      </c>
      <c r="N78" s="526"/>
      <c r="O78" s="509"/>
    </row>
    <row r="79" spans="2:15">
      <c r="B79" s="15">
        <v>59</v>
      </c>
      <c r="C79" s="360" t="str">
        <f ca="1">VLOOKUP( $B79, Aop!$A$2:$P$456, 5, 1)</f>
        <v>234, 239</v>
      </c>
      <c r="D79" s="563" t="str">
        <f ca="1">VLOOKUP( $B79, Aop!$A$2:$P$456, 6, 1)</f>
        <v xml:space="preserve">      2.3. Potraživanje po finansijskom lizingu</v>
      </c>
      <c r="E79" s="564"/>
      <c r="F79" s="564"/>
      <c r="G79" s="564"/>
      <c r="H79" s="565"/>
      <c r="I79" s="122">
        <f ca="1">VLOOKUP( $B79, Aop!$A$2:$P$456, 4, 1)</f>
        <v>59</v>
      </c>
      <c r="J79" s="155"/>
      <c r="K79" s="155"/>
      <c r="L79" s="155"/>
      <c r="M79" s="518">
        <f t="shared" si="0"/>
        <v>0</v>
      </c>
      <c r="N79" s="153"/>
      <c r="O79" s="509"/>
    </row>
    <row r="80" spans="2:15">
      <c r="B80" s="15">
        <v>60</v>
      </c>
      <c r="C80" s="359">
        <f ca="1">VLOOKUP( $B80, Aop!$A$2:$P$456, 5, 1)</f>
        <v>214</v>
      </c>
      <c r="D80" s="557" t="str">
        <f ca="1">VLOOKUP( $B80, Aop!$A$2:$P$456, 6, 1)</f>
        <v xml:space="preserve">      2.4. Derivatna finansijska sredstva</v>
      </c>
      <c r="E80" s="558"/>
      <c r="F80" s="558"/>
      <c r="G80" s="558"/>
      <c r="H80" s="559"/>
      <c r="I80" s="123">
        <f ca="1">VLOOKUP( $B80, Aop!$A$2:$P$456, 4, 1)</f>
        <v>60</v>
      </c>
      <c r="J80" s="153"/>
      <c r="K80" s="153"/>
      <c r="L80" s="153"/>
      <c r="M80" s="519">
        <f t="shared" si="0"/>
        <v>0</v>
      </c>
      <c r="N80" s="526"/>
      <c r="O80" s="509"/>
    </row>
    <row r="81" spans="2:15">
      <c r="B81" s="15">
        <v>61</v>
      </c>
      <c r="C81" s="360">
        <f ca="1">VLOOKUP( $B81, Aop!$A$2:$P$456, 5, 1)</f>
        <v>24</v>
      </c>
      <c r="D81" s="563" t="str">
        <f ca="1">VLOOKUP( $B81, Aop!$A$2:$P$456, 6, 1)</f>
        <v xml:space="preserve">    3. Gotovinski ekvivalenti i gotovina (062 + 063)</v>
      </c>
      <c r="E81" s="564"/>
      <c r="F81" s="564"/>
      <c r="G81" s="564"/>
      <c r="H81" s="565"/>
      <c r="I81" s="122">
        <f ca="1">VLOOKUP( $B81, Aop!$A$2:$P$456, 4, 1)</f>
        <v>61</v>
      </c>
      <c r="J81" s="155"/>
      <c r="K81" s="32">
        <f>SUBTOTAL(9,K82:K83)</f>
        <v>18688775</v>
      </c>
      <c r="L81" s="32">
        <f>SUBTOTAL(9,L82:L83)</f>
        <v>0</v>
      </c>
      <c r="M81" s="514">
        <f t="shared" si="0"/>
        <v>18688775</v>
      </c>
      <c r="N81" s="526">
        <f>SUBTOTAL(9,N82:N83)</f>
        <v>1877593</v>
      </c>
      <c r="O81" s="509"/>
    </row>
    <row r="82" spans="2:15">
      <c r="B82" s="15">
        <v>62</v>
      </c>
      <c r="C82" s="359" t="str">
        <f ca="1">VLOOKUP( $B82, Aop!$A$2:$P$456, 5, 1)</f>
        <v>240, dio 249</v>
      </c>
      <c r="D82" s="557" t="str">
        <f ca="1">VLOOKUP( $B82, Aop!$A$2:$P$456, 6, 1)</f>
        <v xml:space="preserve">      3.1. Gotovinski ekvivalenti </v>
      </c>
      <c r="E82" s="558"/>
      <c r="F82" s="558"/>
      <c r="G82" s="558"/>
      <c r="H82" s="559"/>
      <c r="I82" s="123">
        <f ca="1">VLOOKUP( $B82, Aop!$A$2:$P$456, 4, 1)</f>
        <v>62</v>
      </c>
      <c r="J82" s="153"/>
      <c r="K82" s="236"/>
      <c r="L82" s="153"/>
      <c r="M82" s="519">
        <f t="shared" si="0"/>
        <v>0</v>
      </c>
      <c r="N82" s="526"/>
      <c r="O82" s="509"/>
    </row>
    <row r="83" spans="2:15">
      <c r="B83" s="15">
        <v>63</v>
      </c>
      <c r="C83" s="360" t="str">
        <f ca="1">VLOOKUP( $B83, Aop!$A$2:$P$456, 5, 1)</f>
        <v>241 do 249</v>
      </c>
      <c r="D83" s="563" t="str">
        <f ca="1">VLOOKUP( $B83, Aop!$A$2:$P$456, 6, 1)</f>
        <v xml:space="preserve">      3.2. Gotovina</v>
      </c>
      <c r="E83" s="564"/>
      <c r="F83" s="564"/>
      <c r="G83" s="564"/>
      <c r="H83" s="565"/>
      <c r="I83" s="122">
        <f ca="1">VLOOKUP( $B83, Aop!$A$2:$P$456, 4, 1)</f>
        <v>63</v>
      </c>
      <c r="J83" s="155"/>
      <c r="K83" s="155">
        <v>18688775</v>
      </c>
      <c r="L83" s="155"/>
      <c r="M83" s="518">
        <f t="shared" si="0"/>
        <v>18688775</v>
      </c>
      <c r="N83" s="526">
        <v>1877593</v>
      </c>
      <c r="O83" s="512"/>
    </row>
    <row r="84" spans="2:15">
      <c r="B84" s="15">
        <v>64</v>
      </c>
      <c r="C84" s="359" t="str">
        <f ca="1">VLOOKUP( $B84, Aop!$A$2:$P$456, 5, 1)</f>
        <v>270 do 279</v>
      </c>
      <c r="D84" s="557" t="str">
        <f ca="1">VLOOKUP( $B84, Aop!$A$2:$P$456, 6, 1)</f>
        <v xml:space="preserve">    4. Porez na dodatu vrijednost</v>
      </c>
      <c r="E84" s="558"/>
      <c r="F84" s="558"/>
      <c r="G84" s="558"/>
      <c r="H84" s="559"/>
      <c r="I84" s="123">
        <f ca="1">VLOOKUP( $B84, Aop!$A$2:$P$456, 4, 1)</f>
        <v>64</v>
      </c>
      <c r="J84" s="153"/>
      <c r="K84" s="417">
        <v>11274</v>
      </c>
      <c r="L84" s="153"/>
      <c r="M84" s="519">
        <f t="shared" si="0"/>
        <v>11274</v>
      </c>
      <c r="N84" s="526">
        <v>92898</v>
      </c>
      <c r="O84" s="509"/>
    </row>
    <row r="85" spans="2:15">
      <c r="B85" s="15">
        <v>65</v>
      </c>
      <c r="C85" s="360" t="str">
        <f ca="1">VLOOKUP( $B85, Aop!$A$2:$P$456, 5, 1)</f>
        <v>280 do 289</v>
      </c>
      <c r="D85" s="563" t="str">
        <f ca="1">VLOOKUP( $B85, Aop!$A$2:$P$456, 6, 1)</f>
        <v xml:space="preserve">    5. Kratkoročna  razgraničenja</v>
      </c>
      <c r="E85" s="564"/>
      <c r="F85" s="564"/>
      <c r="G85" s="564"/>
      <c r="H85" s="565"/>
      <c r="I85" s="122">
        <f ca="1">VLOOKUP( $B85, Aop!$A$2:$P$456, 4, 1)</f>
        <v>65</v>
      </c>
      <c r="J85" s="155"/>
      <c r="K85" s="419"/>
      <c r="L85" s="155"/>
      <c r="M85" s="518">
        <f t="shared" si="0"/>
        <v>0</v>
      </c>
      <c r="N85" s="526">
        <v>161</v>
      </c>
      <c r="O85" s="509"/>
    </row>
    <row r="86" spans="2:15">
      <c r="B86" s="15">
        <v>66</v>
      </c>
      <c r="C86" s="359"/>
      <c r="D86" s="574" t="str">
        <f ca="1">VLOOKUP( $B86, Aop!$A$2:$P$456, 6, 1)</f>
        <v xml:space="preserve">  G. BILANSNA AKTIVA (001 + 035 + 036)</v>
      </c>
      <c r="E86" s="575"/>
      <c r="F86" s="575"/>
      <c r="G86" s="575"/>
      <c r="H86" s="576"/>
      <c r="I86" s="170">
        <f ca="1">VLOOKUP( $B86, Aop!$A$2:$P$456, 4, 1)</f>
        <v>66</v>
      </c>
      <c r="J86" s="153"/>
      <c r="K86" s="31">
        <f>SUBTOTAL( 9, K21:K85)</f>
        <v>169217927</v>
      </c>
      <c r="L86" s="31">
        <f>SUBTOTAL( 9, L21:L85)</f>
        <v>96985911</v>
      </c>
      <c r="M86" s="523">
        <f t="shared" si="0"/>
        <v>72232016</v>
      </c>
      <c r="N86" s="528">
        <f>N21+N55+N56</f>
        <v>85687390</v>
      </c>
      <c r="O86" s="509"/>
    </row>
    <row r="87" spans="2:15">
      <c r="B87" s="15">
        <v>67</v>
      </c>
      <c r="C87" s="361" t="str">
        <f ca="1">VLOOKUP( $B87, Aop!$A$2:$P$456, 5, 1)</f>
        <v>880 do 888</v>
      </c>
      <c r="D87" s="560" t="str">
        <f ca="1">VLOOKUP( $B87, Aop!$A$2:$P$456, 6, 1)</f>
        <v xml:space="preserve">  D. VANBILANSNA AKTIVA</v>
      </c>
      <c r="E87" s="561"/>
      <c r="F87" s="561"/>
      <c r="G87" s="561"/>
      <c r="H87" s="562"/>
      <c r="I87" s="171">
        <f ca="1">VLOOKUP( $B87, Aop!$A$2:$P$456, 4, 1)</f>
        <v>67</v>
      </c>
      <c r="J87" s="395"/>
      <c r="K87" s="422">
        <v>14412988</v>
      </c>
      <c r="L87" s="422"/>
      <c r="M87" s="524">
        <f>SUM(K87,-L87)</f>
        <v>14412988</v>
      </c>
      <c r="N87" s="526">
        <v>14412988</v>
      </c>
      <c r="O87" s="509"/>
    </row>
    <row r="88" spans="2:15">
      <c r="C88" s="124"/>
      <c r="D88" s="124"/>
      <c r="E88" s="124"/>
      <c r="F88" s="124"/>
      <c r="G88" s="124"/>
      <c r="H88" s="124"/>
      <c r="I88" s="124"/>
      <c r="J88" s="124"/>
      <c r="K88" s="124"/>
      <c r="L88" s="124"/>
      <c r="M88" s="125"/>
      <c r="N88" s="124"/>
      <c r="O88" s="510"/>
    </row>
    <row r="89" spans="2:15">
      <c r="C89" s="587" t="str">
        <f ca="1">Tabele_zaglavlje_Grupa_racuna</f>
        <v>Grupa računa, račun</v>
      </c>
      <c r="D89" s="605" t="str">
        <f ca="1">Tabele_zaglavlje_Pozicija</f>
        <v>POZICIJA</v>
      </c>
      <c r="E89" s="606"/>
      <c r="F89" s="606"/>
      <c r="G89" s="606"/>
      <c r="H89" s="607"/>
      <c r="I89" s="613" t="str">
        <f ca="1">Tabele_zaglavlje_Oznaka_aop</f>
        <v>Oznaka za AOP</v>
      </c>
      <c r="J89" s="611" t="str">
        <f ca="1">Tabele_zaglavlje_Napomena_aop</f>
        <v>Napomena</v>
      </c>
      <c r="K89" s="568"/>
      <c r="L89" s="569"/>
      <c r="M89" s="572" t="str">
        <f ca="1">Tabele_zaglavlje_BS_iznos_tekuca</f>
        <v>Iznos na dan bilansa tekuće godine</v>
      </c>
      <c r="N89" s="566" t="str">
        <f ca="1">Tabele_zaglavlje_BS_iznos_prethodna</f>
        <v>Iznos na dan bilansa prethodne godine (PS)</v>
      </c>
      <c r="O89" s="511"/>
    </row>
    <row r="90" spans="2:15" ht="39.75" customHeight="1">
      <c r="C90" s="588"/>
      <c r="D90" s="608"/>
      <c r="E90" s="609"/>
      <c r="F90" s="609"/>
      <c r="G90" s="609"/>
      <c r="H90" s="610"/>
      <c r="I90" s="573"/>
      <c r="J90" s="612"/>
      <c r="K90" s="570"/>
      <c r="L90" s="571"/>
      <c r="M90" s="573"/>
      <c r="N90" s="567"/>
      <c r="O90" s="44"/>
    </row>
    <row r="91" spans="2:15">
      <c r="C91" s="24">
        <v>1</v>
      </c>
      <c r="D91" s="589">
        <v>2</v>
      </c>
      <c r="E91" s="590"/>
      <c r="F91" s="590"/>
      <c r="G91" s="590"/>
      <c r="H91" s="591"/>
      <c r="I91" s="177">
        <v>3</v>
      </c>
      <c r="J91" s="237">
        <v>4</v>
      </c>
      <c r="K91" s="396"/>
      <c r="L91" s="397"/>
      <c r="M91" s="176">
        <v>5</v>
      </c>
      <c r="N91" s="26">
        <v>6</v>
      </c>
      <c r="O91" s="44"/>
    </row>
    <row r="92" spans="2:15" ht="22.5" customHeight="1">
      <c r="B92" s="15">
        <v>68</v>
      </c>
      <c r="C92" s="167">
        <f ca="1">VLOOKUP( $B92, Aop!$A$2:$P$456, 5, 1)</f>
        <v>0</v>
      </c>
      <c r="D92" s="578" t="str">
        <f ca="1">VLOOKUP( $B92, Aop!$A$2:$P$456, 6, 1)</f>
        <v xml:space="preserve">  BILANSNA PASIVA
A. KAPITAL  (102 -110 + 113 - 114 + 115 + 119 + 122 - 123 + 124 - 128 + 131)</v>
      </c>
      <c r="E92" s="579"/>
      <c r="F92" s="579"/>
      <c r="G92" s="579"/>
      <c r="H92" s="580"/>
      <c r="I92" s="168">
        <f ca="1">VLOOKUP( $B92, Aop!$A$2:$P$456, 4, 1)</f>
        <v>101</v>
      </c>
      <c r="J92" s="155"/>
      <c r="K92" s="594"/>
      <c r="L92" s="595"/>
      <c r="M92" s="388">
        <f>SUBTOTAL( 9, M95:M100, M102:M103,M104,M105,M107:M109, M111:M113,M116:M118,M122) - SUBTOTAL( 9,  M114, M120:M121)</f>
        <v>71445915</v>
      </c>
      <c r="N92" s="389">
        <f>SUBTOTAL( 9, N95:N100, N102:N103,N104,N105,N107:N109, N111:N113,N116:N118,N122) - SUBTOTAL( 9,  N114, N120:N121)</f>
        <v>85401999</v>
      </c>
      <c r="O92" s="44"/>
    </row>
    <row r="93" spans="2:15">
      <c r="B93" s="15">
        <v>69</v>
      </c>
      <c r="C93" s="356">
        <f ca="1">VLOOKUP( $B93, Aop!$A$2:$P$456, 5, 1)</f>
        <v>29</v>
      </c>
      <c r="D93" s="581" t="str">
        <f ca="1">VLOOKUP( $B93, Aop!$A$2:$P$456, 6, 1)</f>
        <v xml:space="preserve">  I OSNOVNI KAPITAL (103 + 106 + 107 + 108 + 109)</v>
      </c>
      <c r="E93" s="582"/>
      <c r="F93" s="582"/>
      <c r="G93" s="582"/>
      <c r="H93" s="583"/>
      <c r="I93" s="238">
        <f ca="1">VLOOKUP( $B93, Aop!$A$2:$P$456, 4, 1)</f>
        <v>102</v>
      </c>
      <c r="J93" s="417"/>
      <c r="K93" s="592"/>
      <c r="L93" s="593"/>
      <c r="M93" s="239">
        <f>SUBTOTAL( 9, M94:M100,M104,M105 )</f>
        <v>50777428</v>
      </c>
      <c r="N93" s="363">
        <f>SUBTOTAL( 9, N94:N100,N104 )</f>
        <v>50777428</v>
      </c>
      <c r="O93" s="44"/>
    </row>
    <row r="94" spans="2:15">
      <c r="B94" s="15">
        <v>70</v>
      </c>
      <c r="C94" s="357">
        <f ca="1">VLOOKUP( $B94, Aop!$A$2:$P$456, 5, 1)</f>
        <v>300</v>
      </c>
      <c r="D94" s="563" t="str">
        <f ca="1">VLOOKUP( $B94, Aop!$A$2:$P$456, 6, 1)</f>
        <v xml:space="preserve">    1. Akcijski kapital (104 + 105)</v>
      </c>
      <c r="E94" s="564"/>
      <c r="F94" s="564"/>
      <c r="G94" s="564"/>
      <c r="H94" s="565"/>
      <c r="I94" s="168">
        <f ca="1">VLOOKUP( $B94, Aop!$A$2:$P$456, 4, 1)</f>
        <v>103</v>
      </c>
      <c r="J94" s="155"/>
      <c r="K94" s="594"/>
      <c r="L94" s="595"/>
      <c r="M94" s="50">
        <f>SUBTOTAL( 9, M95:M96)</f>
        <v>50777428</v>
      </c>
      <c r="N94" s="51">
        <f>SUBTOTAL( 9, N95:N96)</f>
        <v>50777428</v>
      </c>
      <c r="O94" s="44"/>
    </row>
    <row r="95" spans="2:15">
      <c r="B95" s="15">
        <v>71</v>
      </c>
      <c r="C95" s="358">
        <f ca="1">VLOOKUP( $B95, Aop!$A$2:$P$456, 5, 1)</f>
        <v>0</v>
      </c>
      <c r="D95" s="557" t="str">
        <f ca="1">VLOOKUP( $B95, Aop!$A$2:$P$456, 6, 1)</f>
        <v xml:space="preserve">      1.1. Akcijski kapital - obične akcije </v>
      </c>
      <c r="E95" s="558"/>
      <c r="F95" s="558"/>
      <c r="G95" s="558"/>
      <c r="H95" s="559"/>
      <c r="I95" s="123">
        <f ca="1">VLOOKUP( $B95, Aop!$A$2:$P$456, 4, 1)</f>
        <v>104</v>
      </c>
      <c r="J95" s="153"/>
      <c r="K95" s="592"/>
      <c r="L95" s="593"/>
      <c r="M95" s="195">
        <v>50777428</v>
      </c>
      <c r="N95" s="196">
        <v>50777428</v>
      </c>
      <c r="O95" s="44"/>
    </row>
    <row r="96" spans="2:15">
      <c r="B96" s="15">
        <v>72</v>
      </c>
      <c r="C96" s="357">
        <f ca="1">VLOOKUP( $B96, Aop!$A$2:$P$456, 5, 1)</f>
        <v>0</v>
      </c>
      <c r="D96" s="563" t="str">
        <f ca="1">VLOOKUP( $B96, Aop!$A$2:$P$456, 6, 1)</f>
        <v xml:space="preserve">      1.2. Akcijski kapital – povlašćene (prioritetne) akcije</v>
      </c>
      <c r="E96" s="564"/>
      <c r="F96" s="564"/>
      <c r="G96" s="564"/>
      <c r="H96" s="565"/>
      <c r="I96" s="122">
        <f ca="1">VLOOKUP( $B96, Aop!$A$2:$P$456, 4, 1)</f>
        <v>105</v>
      </c>
      <c r="J96" s="155"/>
      <c r="K96" s="594"/>
      <c r="L96" s="595"/>
      <c r="M96" s="197"/>
      <c r="N96" s="198"/>
      <c r="O96" s="44"/>
    </row>
    <row r="97" spans="2:15">
      <c r="B97" s="15">
        <v>73</v>
      </c>
      <c r="C97" s="358">
        <f ca="1">VLOOKUP( $B97, Aop!$A$2:$P$456, 5, 1)</f>
        <v>302</v>
      </c>
      <c r="D97" s="557" t="str">
        <f ca="1">VLOOKUP( $B97, Aop!$A$2:$P$456, 6, 1)</f>
        <v xml:space="preserve">    2. Udjeli društva sa ograničenom odgovornošću</v>
      </c>
      <c r="E97" s="558"/>
      <c r="F97" s="558"/>
      <c r="G97" s="558"/>
      <c r="H97" s="559"/>
      <c r="I97" s="123">
        <f ca="1">VLOOKUP( $B97, Aop!$A$2:$P$456, 4, 1)</f>
        <v>106</v>
      </c>
      <c r="J97" s="153"/>
      <c r="K97" s="592"/>
      <c r="L97" s="593"/>
      <c r="M97" s="195"/>
      <c r="N97" s="196"/>
      <c r="O97" s="44"/>
    </row>
    <row r="98" spans="2:15">
      <c r="B98" s="15">
        <v>74</v>
      </c>
      <c r="C98" s="357">
        <f ca="1">VLOOKUP( $B98, Aop!$A$2:$P$456, 5, 1)</f>
        <v>304</v>
      </c>
      <c r="D98" s="563" t="str">
        <f ca="1">VLOOKUP( $B98, Aop!$A$2:$P$456, 6, 1)</f>
        <v xml:space="preserve">    3. Ulozi</v>
      </c>
      <c r="E98" s="564"/>
      <c r="F98" s="564"/>
      <c r="G98" s="564"/>
      <c r="H98" s="565"/>
      <c r="I98" s="122">
        <f ca="1">VLOOKUP( $B98, Aop!$A$2:$P$456, 4, 1)</f>
        <v>107</v>
      </c>
      <c r="J98" s="155"/>
      <c r="K98" s="594"/>
      <c r="L98" s="595"/>
      <c r="M98" s="197"/>
      <c r="N98" s="198"/>
      <c r="O98" s="44"/>
    </row>
    <row r="99" spans="2:15">
      <c r="B99" s="15">
        <v>75</v>
      </c>
      <c r="C99" s="358">
        <f ca="1">VLOOKUP( $B99, Aop!$A$2:$P$456, 5, 1)</f>
        <v>305</v>
      </c>
      <c r="D99" s="557" t="str">
        <f ca="1">VLOOKUP( $B99, Aop!$A$2:$P$456, 6, 1)</f>
        <v xml:space="preserve">    4. Državni kapital</v>
      </c>
      <c r="E99" s="558"/>
      <c r="F99" s="558"/>
      <c r="G99" s="558"/>
      <c r="H99" s="559"/>
      <c r="I99" s="123">
        <f ca="1">VLOOKUP( $B99, Aop!$A$2:$P$456, 4, 1)</f>
        <v>108</v>
      </c>
      <c r="J99" s="153"/>
      <c r="K99" s="592"/>
      <c r="L99" s="593"/>
      <c r="M99" s="195"/>
      <c r="N99" s="196"/>
      <c r="O99" s="44"/>
    </row>
    <row r="100" spans="2:15">
      <c r="B100" s="15">
        <v>76</v>
      </c>
      <c r="C100" s="357" t="str">
        <f ca="1">VLOOKUP( $B100, Aop!$A$2:$P$456, 5, 1)</f>
        <v>309</v>
      </c>
      <c r="D100" s="563" t="str">
        <f ca="1">VLOOKUP( $B100, Aop!$A$2:$P$456, 6, 1)</f>
        <v xml:space="preserve">    5. Ostali osnovni kapital</v>
      </c>
      <c r="E100" s="564"/>
      <c r="F100" s="564"/>
      <c r="G100" s="564"/>
      <c r="H100" s="565"/>
      <c r="I100" s="122">
        <f ca="1">VLOOKUP( $B100, Aop!$A$2:$P$456, 4, 1)</f>
        <v>109</v>
      </c>
      <c r="J100" s="155"/>
      <c r="K100" s="594"/>
      <c r="L100" s="595"/>
      <c r="M100" s="197"/>
      <c r="N100" s="198"/>
      <c r="O100" s="44"/>
    </row>
    <row r="101" spans="2:15">
      <c r="B101" s="15">
        <v>77</v>
      </c>
      <c r="C101" s="358">
        <f ca="1">VLOOKUP( $B101, Aop!$A$2:$P$456, 5, 1)</f>
        <v>31</v>
      </c>
      <c r="D101" s="574" t="str">
        <f ca="1">VLOOKUP( $B101, Aop!$A$2:$P$456, 6, 1)</f>
        <v xml:space="preserve">  II OTKUPLJENE SOPSTVENE AKCIJE I UPISANI NEUPLAĆENI KAPITAL (111 + 112)</v>
      </c>
      <c r="E101" s="575"/>
      <c r="F101" s="575"/>
      <c r="G101" s="575"/>
      <c r="H101" s="576"/>
      <c r="I101" s="169">
        <f ca="1">VLOOKUP( $B101, Aop!$A$2:$P$456, 4, 1)</f>
        <v>110</v>
      </c>
      <c r="J101" s="153"/>
      <c r="K101" s="592"/>
      <c r="L101" s="593"/>
      <c r="M101" s="52">
        <f>SUBTOTAL( 9, M102:M103)</f>
        <v>0</v>
      </c>
      <c r="N101" s="53">
        <f>SUBTOTAL( 9, N102:N103)</f>
        <v>0</v>
      </c>
      <c r="O101" s="44"/>
    </row>
    <row r="102" spans="2:15">
      <c r="B102" s="15">
        <v>78</v>
      </c>
      <c r="C102" s="357">
        <f ca="1">VLOOKUP( $B102, Aop!$A$2:$P$456, 5, 1)</f>
        <v>310</v>
      </c>
      <c r="D102" s="563" t="str">
        <f ca="1">VLOOKUP( $B102, Aop!$A$2:$P$456, 6, 1)</f>
        <v xml:space="preserve">    1. Otkupljene sopstvene akcije i udjeli </v>
      </c>
      <c r="E102" s="564"/>
      <c r="F102" s="564"/>
      <c r="G102" s="564"/>
      <c r="H102" s="565"/>
      <c r="I102" s="122">
        <f ca="1">VLOOKUP( $B102, Aop!$A$2:$P$456, 4, 1)</f>
        <v>111</v>
      </c>
      <c r="J102" s="155"/>
      <c r="K102" s="594"/>
      <c r="L102" s="595"/>
      <c r="M102" s="201"/>
      <c r="N102" s="202"/>
      <c r="O102" s="44"/>
    </row>
    <row r="103" spans="2:15">
      <c r="B103" s="15">
        <v>79</v>
      </c>
      <c r="C103" s="358">
        <f ca="1">VLOOKUP( $B103, Aop!$A$2:$P$456, 5, 1)</f>
        <v>311</v>
      </c>
      <c r="D103" s="557" t="str">
        <f ca="1">VLOOKUP( $B103, Aop!$A$2:$P$456, 6, 1)</f>
        <v xml:space="preserve">    2. Upisani neuplaćeni kapital</v>
      </c>
      <c r="E103" s="558"/>
      <c r="F103" s="558"/>
      <c r="G103" s="558"/>
      <c r="H103" s="559"/>
      <c r="I103" s="123">
        <f ca="1">VLOOKUP( $B103, Aop!$A$2:$P$456, 4, 1)</f>
        <v>112</v>
      </c>
      <c r="J103" s="153"/>
      <c r="K103" s="592"/>
      <c r="L103" s="593"/>
      <c r="M103" s="199"/>
      <c r="N103" s="200"/>
      <c r="O103" s="44"/>
    </row>
    <row r="104" spans="2:15">
      <c r="B104" s="15">
        <v>80</v>
      </c>
      <c r="C104" s="357">
        <f ca="1">VLOOKUP( $B104, Aop!$A$2:$P$456, 5, 1)</f>
        <v>320</v>
      </c>
      <c r="D104" s="584" t="str">
        <f ca="1">VLOOKUP( $B104, Aop!$A$2:$P$456, 6, 1)</f>
        <v xml:space="preserve">  III EMISIONA PREMIJA</v>
      </c>
      <c r="E104" s="585"/>
      <c r="F104" s="585"/>
      <c r="G104" s="585"/>
      <c r="H104" s="586"/>
      <c r="I104" s="168">
        <f ca="1">VLOOKUP( $B104, Aop!$A$2:$P$456, 4, 1)</f>
        <v>113</v>
      </c>
      <c r="J104" s="155"/>
      <c r="K104" s="594"/>
      <c r="L104" s="595"/>
      <c r="M104" s="201"/>
      <c r="N104" s="202"/>
      <c r="O104" s="44"/>
    </row>
    <row r="105" spans="2:15">
      <c r="B105" s="15">
        <v>81</v>
      </c>
      <c r="C105" s="358">
        <f ca="1">VLOOKUP( $B105, Aop!$A$2:$P$456, 5, 1)</f>
        <v>321</v>
      </c>
      <c r="D105" s="574" t="str">
        <f ca="1">VLOOKUP( $B105, Aop!$A$2:$P$456, 6, 1)</f>
        <v xml:space="preserve">  IV EMISIONI GUBITAK</v>
      </c>
      <c r="E105" s="575"/>
      <c r="F105" s="575"/>
      <c r="G105" s="575"/>
      <c r="H105" s="576"/>
      <c r="I105" s="169">
        <f ca="1">VLOOKUP( $B105, Aop!$A$2:$P$456, 4, 1)</f>
        <v>114</v>
      </c>
      <c r="J105" s="153"/>
      <c r="K105" s="592"/>
      <c r="L105" s="593"/>
      <c r="M105" s="199"/>
      <c r="N105" s="200"/>
      <c r="O105" s="44"/>
    </row>
    <row r="106" spans="2:15">
      <c r="B106" s="15">
        <v>82</v>
      </c>
      <c r="C106" s="357" t="str">
        <f ca="1">VLOOKUP( $B106, Aop!$A$2:$P$456, 5, 1)</f>
        <v>dio 32</v>
      </c>
      <c r="D106" s="584" t="str">
        <f ca="1">VLOOKUP( $B106, Aop!$A$2:$P$456, 6, 1)</f>
        <v xml:space="preserve">  V REZERVE (116 do 118)</v>
      </c>
      <c r="E106" s="585"/>
      <c r="F106" s="585"/>
      <c r="G106" s="585"/>
      <c r="H106" s="586"/>
      <c r="I106" s="168">
        <f ca="1">VLOOKUP( $B106, Aop!$A$2:$P$456, 4, 1)</f>
        <v>115</v>
      </c>
      <c r="J106" s="155"/>
      <c r="K106" s="594"/>
      <c r="L106" s="595"/>
      <c r="M106" s="50">
        <f>SUBTOTAL( 9, M107:M109)</f>
        <v>873001</v>
      </c>
      <c r="N106" s="51">
        <f>SUBTOTAL( 9, N107:N109)</f>
        <v>20971</v>
      </c>
      <c r="O106" s="44"/>
    </row>
    <row r="107" spans="2:15">
      <c r="B107" s="15">
        <v>83</v>
      </c>
      <c r="C107" s="358">
        <f ca="1">VLOOKUP( $B107, Aop!$A$2:$P$456, 5, 1)</f>
        <v>322</v>
      </c>
      <c r="D107" s="557" t="str">
        <f ca="1">VLOOKUP( $B107, Aop!$A$2:$P$456, 6, 1)</f>
        <v xml:space="preserve">    1. Zakonske rezerve</v>
      </c>
      <c r="E107" s="558"/>
      <c r="F107" s="558"/>
      <c r="G107" s="558"/>
      <c r="H107" s="559"/>
      <c r="I107" s="123">
        <f ca="1">VLOOKUP( $B107, Aop!$A$2:$P$456, 4, 1)</f>
        <v>116</v>
      </c>
      <c r="J107" s="153"/>
      <c r="K107" s="592"/>
      <c r="L107" s="593"/>
      <c r="M107" s="195">
        <v>873001</v>
      </c>
      <c r="N107" s="196">
        <v>20971</v>
      </c>
      <c r="O107" s="44"/>
    </row>
    <row r="108" spans="2:15">
      <c r="B108" s="15">
        <v>84</v>
      </c>
      <c r="C108" s="357">
        <f ca="1">VLOOKUP( $B108, Aop!$A$2:$P$456, 5, 1)</f>
        <v>323</v>
      </c>
      <c r="D108" s="563" t="str">
        <f ca="1">VLOOKUP( $B108, Aop!$A$2:$P$456, 6, 1)</f>
        <v xml:space="preserve">    2. Statutarne rezerve</v>
      </c>
      <c r="E108" s="564"/>
      <c r="F108" s="564"/>
      <c r="G108" s="564"/>
      <c r="H108" s="565"/>
      <c r="I108" s="122">
        <f ca="1">VLOOKUP( $B108, Aop!$A$2:$P$456, 4, 1)</f>
        <v>117</v>
      </c>
      <c r="J108" s="155"/>
      <c r="K108" s="594"/>
      <c r="L108" s="595"/>
      <c r="M108" s="157"/>
      <c r="N108" s="156"/>
      <c r="O108" s="44"/>
    </row>
    <row r="109" spans="2:15">
      <c r="B109" s="15">
        <v>85</v>
      </c>
      <c r="C109" s="358">
        <f ca="1">VLOOKUP( $B109, Aop!$A$2:$P$456, 5, 1)</f>
        <v>329</v>
      </c>
      <c r="D109" s="557" t="str">
        <f ca="1">VLOOKUP( $B109, Aop!$A$2:$P$456, 6, 1)</f>
        <v xml:space="preserve">    3. Ostale rezerve</v>
      </c>
      <c r="E109" s="558"/>
      <c r="F109" s="558"/>
      <c r="G109" s="558"/>
      <c r="H109" s="559"/>
      <c r="I109" s="123">
        <f ca="1">VLOOKUP( $B109, Aop!$A$2:$P$456, 4, 1)</f>
        <v>118</v>
      </c>
      <c r="J109" s="153"/>
      <c r="K109" s="592"/>
      <c r="L109" s="593"/>
      <c r="M109" s="199"/>
      <c r="N109" s="82"/>
      <c r="O109" s="44"/>
    </row>
    <row r="110" spans="2:15" ht="11.25" customHeight="1">
      <c r="B110" s="15">
        <v>86</v>
      </c>
      <c r="C110" s="357" t="str">
        <f ca="1">VLOOKUP( $B110, Aop!$A$2:$P$456, 5, 1)</f>
        <v>dio 33</v>
      </c>
      <c r="D110" s="584" t="str">
        <f ca="1">VLOOKUP( $B110, Aop!$A$2:$P$456, 6, 1)</f>
        <v xml:space="preserve">   VI REVALORIZACIONE REZERVE (120 + 121)</v>
      </c>
      <c r="E110" s="585"/>
      <c r="F110" s="585"/>
      <c r="G110" s="585"/>
      <c r="H110" s="586"/>
      <c r="I110" s="168">
        <f ca="1">VLOOKUP( $B110, Aop!$A$2:$P$456, 4, 1)</f>
        <v>119</v>
      </c>
      <c r="J110" s="155"/>
      <c r="K110" s="594"/>
      <c r="L110" s="595"/>
      <c r="M110" s="50">
        <f>SUBTOTAL( 9, M111:M112)</f>
        <v>938788</v>
      </c>
      <c r="N110" s="65">
        <f>SUBTOTAL( 9, N111:N112)</f>
        <v>15495786</v>
      </c>
      <c r="O110" s="44"/>
    </row>
    <row r="111" spans="2:15">
      <c r="B111" s="15">
        <v>87</v>
      </c>
      <c r="C111" s="358">
        <f ca="1">VLOOKUP( $B111, Aop!$A$2:$P$456, 5, 1)</f>
        <v>330</v>
      </c>
      <c r="D111" s="557" t="str">
        <f ca="1">VLOOKUP( $B111, Aop!$A$2:$P$456, 6, 1)</f>
        <v xml:space="preserve">    1. Revalorizacione rezerve za nekretnine, postrojenja, opremu i nematerijalna sredstva</v>
      </c>
      <c r="E111" s="558"/>
      <c r="F111" s="558"/>
      <c r="G111" s="558"/>
      <c r="H111" s="559"/>
      <c r="I111" s="123">
        <f ca="1">VLOOKUP( $B111, Aop!$A$2:$P$456, 4, 1)</f>
        <v>120</v>
      </c>
      <c r="J111" s="153"/>
      <c r="K111" s="592"/>
      <c r="L111" s="593"/>
      <c r="M111" s="195"/>
      <c r="N111" s="154"/>
      <c r="O111" s="44"/>
    </row>
    <row r="112" spans="2:15">
      <c r="B112" s="15">
        <v>88</v>
      </c>
      <c r="C112" s="357" t="str">
        <f ca="1">VLOOKUP( $B112, Aop!$A$2:$P$456, 5, 1)</f>
        <v>331 i 334</v>
      </c>
      <c r="D112" s="563" t="str">
        <f ca="1">VLOOKUP( $B112, Aop!$A$2:$P$456, 6, 1)</f>
        <v xml:space="preserve">    2. Ostale revalorizacione rezerve</v>
      </c>
      <c r="E112" s="564"/>
      <c r="F112" s="564"/>
      <c r="G112" s="564"/>
      <c r="H112" s="565"/>
      <c r="I112" s="122">
        <f ca="1">VLOOKUP( $B112, Aop!$A$2:$P$456, 4, 1)</f>
        <v>121</v>
      </c>
      <c r="J112" s="155"/>
      <c r="K112" s="594"/>
      <c r="L112" s="595"/>
      <c r="M112" s="197">
        <v>938788</v>
      </c>
      <c r="N112" s="156">
        <v>15495786</v>
      </c>
      <c r="O112" s="44"/>
    </row>
    <row r="113" spans="2:15" ht="21" customHeight="1">
      <c r="B113" s="15">
        <v>89</v>
      </c>
      <c r="C113" s="358">
        <f ca="1">VLOOKUP( $B113, Aop!$A$2:$P$456, 5, 1)</f>
        <v>332</v>
      </c>
      <c r="D113" s="596" t="str">
        <f ca="1">VLOOKUP( $B113, Aop!$A$2:$P$456, 6, 1)</f>
        <v xml:space="preserve">  VII POZITIVNI EFEKTI VREDNOVANJA FINANSIJSKIH SREDSTAVA KOJA SE VREDNUJU PO FER VRIJEDNOSTI KROZ OSTALI UKUPNI REZULTAT</v>
      </c>
      <c r="E113" s="597"/>
      <c r="F113" s="597"/>
      <c r="G113" s="597"/>
      <c r="H113" s="598"/>
      <c r="I113" s="169">
        <f ca="1">VLOOKUP( $B113, Aop!$A$2:$P$456, 4, 1)</f>
        <v>122</v>
      </c>
      <c r="J113" s="153"/>
      <c r="K113" s="592"/>
      <c r="L113" s="593"/>
      <c r="M113" s="199"/>
      <c r="N113" s="82"/>
      <c r="O113" s="44"/>
    </row>
    <row r="114" spans="2:15" ht="23.25" customHeight="1">
      <c r="B114" s="15">
        <v>90</v>
      </c>
      <c r="C114" s="357">
        <f ca="1">VLOOKUP( $B114, Aop!$A$2:$P$456, 5, 1)</f>
        <v>333</v>
      </c>
      <c r="D114" s="578" t="str">
        <f ca="1">VLOOKUP( $B114, Aop!$A$2:$P$456, 6, 1)</f>
        <v xml:space="preserve">  VIII NEGATIVNI EFEKTI VREDNOVANJA FINANSIJSKIH SREDSTAVA KOJA SE VREDNUJU PO FER VRIJEDNOSTI KROZ OSTALI UKUPNI REZULTAT</v>
      </c>
      <c r="E114" s="579"/>
      <c r="F114" s="579"/>
      <c r="G114" s="579"/>
      <c r="H114" s="580"/>
      <c r="I114" s="168">
        <f ca="1">VLOOKUP( $B114, Aop!$A$2:$P$456, 4, 1)</f>
        <v>123</v>
      </c>
      <c r="J114" s="155"/>
      <c r="K114" s="594"/>
      <c r="L114" s="595"/>
      <c r="M114" s="201"/>
      <c r="N114" s="204"/>
      <c r="O114" s="44"/>
    </row>
    <row r="115" spans="2:15">
      <c r="B115" s="15">
        <v>91</v>
      </c>
      <c r="C115" s="358">
        <f ca="1">VLOOKUP( $B115, Aop!$A$2:$P$456, 5, 1)</f>
        <v>34</v>
      </c>
      <c r="D115" s="574" t="str">
        <f ca="1">VLOOKUP( $B115, Aop!$A$2:$P$456, 6, 1)</f>
        <v xml:space="preserve">  IX  NERASPOREĐENA DOBIT (125 do 127)</v>
      </c>
      <c r="E115" s="575"/>
      <c r="F115" s="575"/>
      <c r="G115" s="575"/>
      <c r="H115" s="576"/>
      <c r="I115" s="169">
        <f ca="1">VLOOKUP( $B115, Aop!$A$2:$P$456, 4, 1)</f>
        <v>124</v>
      </c>
      <c r="J115" s="153"/>
      <c r="K115" s="592"/>
      <c r="L115" s="593"/>
      <c r="M115" s="52">
        <f>SUBTOTAL( 9, M116:M118)</f>
        <v>18856698</v>
      </c>
      <c r="N115" s="62">
        <f>SUBTOTAL( 9, N116:N118)</f>
        <v>19107814</v>
      </c>
      <c r="O115" s="44"/>
    </row>
    <row r="116" spans="2:15" ht="12" customHeight="1">
      <c r="B116" s="15">
        <v>92</v>
      </c>
      <c r="C116" s="357" t="str">
        <f ca="1">VLOOKUP( $B116, Aop!$A$2:$P$456, 5, 1)</f>
        <v>340 ili 342</v>
      </c>
      <c r="D116" s="599" t="str">
        <f ca="1">VLOOKUP( $B116, Aop!$A$2:$P$456, 6, 1)</f>
        <v xml:space="preserve">    1. Neraspoređena dobit ranijih godina / Neraspoređeni višak prihoda nad rashodima ranijih godina</v>
      </c>
      <c r="E116" s="600"/>
      <c r="F116" s="600"/>
      <c r="G116" s="600"/>
      <c r="H116" s="601"/>
      <c r="I116" s="122">
        <f ca="1">VLOOKUP( $B116, Aop!$A$2:$P$456, 4, 1)</f>
        <v>125</v>
      </c>
      <c r="J116" s="155"/>
      <c r="K116" s="594"/>
      <c r="L116" s="595"/>
      <c r="M116" s="197">
        <v>2555784</v>
      </c>
      <c r="N116" s="156">
        <v>2067231</v>
      </c>
      <c r="O116" s="44"/>
    </row>
    <row r="117" spans="2:15" ht="12" customHeight="1">
      <c r="B117" s="15">
        <v>93</v>
      </c>
      <c r="C117" s="358" t="str">
        <f ca="1">VLOOKUP( $B117, Aop!$A$2:$P$456, 5, 1)</f>
        <v>341 ili 343</v>
      </c>
      <c r="D117" s="602" t="str">
        <f ca="1">VLOOKUP( $B117, Aop!$A$2:$P$456, 6, 1)</f>
        <v xml:space="preserve">    2. Neraspoređena dobit tekuće godine / Neraspoređeni višak prihoda nad rashodima tekuće godine</v>
      </c>
      <c r="E117" s="603"/>
      <c r="F117" s="603"/>
      <c r="G117" s="603"/>
      <c r="H117" s="604"/>
      <c r="I117" s="123">
        <f ca="1">VLOOKUP( $B117, Aop!$A$2:$P$456, 4, 1)</f>
        <v>126</v>
      </c>
      <c r="J117" s="153"/>
      <c r="K117" s="592"/>
      <c r="L117" s="593"/>
      <c r="M117" s="195">
        <v>16300914</v>
      </c>
      <c r="N117" s="154">
        <v>17040583</v>
      </c>
      <c r="O117" s="44"/>
    </row>
    <row r="118" spans="2:15">
      <c r="B118" s="15">
        <v>94</v>
      </c>
      <c r="C118" s="357">
        <f ca="1">VLOOKUP( $B118, Aop!$A$2:$P$456, 5, 1)</f>
        <v>344</v>
      </c>
      <c r="D118" s="563" t="str">
        <f ca="1">VLOOKUP( $B118, Aop!$A$2:$P$456, 6, 1)</f>
        <v xml:space="preserve">    3. Neto prihod od samostalne djelatnosti</v>
      </c>
      <c r="E118" s="564"/>
      <c r="F118" s="564"/>
      <c r="G118" s="564"/>
      <c r="H118" s="565"/>
      <c r="I118" s="122">
        <f ca="1">VLOOKUP( $B118, Aop!$A$2:$P$456, 4, 1)</f>
        <v>127</v>
      </c>
      <c r="J118" s="155"/>
      <c r="K118" s="594"/>
      <c r="L118" s="595"/>
      <c r="M118" s="197"/>
      <c r="N118" s="156"/>
      <c r="O118" s="44"/>
    </row>
    <row r="119" spans="2:15">
      <c r="B119" s="15">
        <v>95</v>
      </c>
      <c r="C119" s="358" t="str">
        <f ca="1">VLOOKUP( $B119, Aop!$A$2:$P$456, 5, 1)</f>
        <v>35</v>
      </c>
      <c r="D119" s="574" t="str">
        <f ca="1">VLOOKUP( $B119, Aop!$A$2:$P$456, 6, 1)</f>
        <v xml:space="preserve">  X GUBITAK (129 + 130)  </v>
      </c>
      <c r="E119" s="575"/>
      <c r="F119" s="575"/>
      <c r="G119" s="575"/>
      <c r="H119" s="576"/>
      <c r="I119" s="169">
        <f ca="1">VLOOKUP( $B119, Aop!$A$2:$P$456, 4, 1)</f>
        <v>128</v>
      </c>
      <c r="J119" s="153"/>
      <c r="K119" s="592"/>
      <c r="L119" s="593"/>
      <c r="M119" s="52">
        <f>SUBTOTAL( 9, M120:M121)</f>
        <v>0</v>
      </c>
      <c r="N119" s="62">
        <f>SUBTOTAL( 9, N120:N121)</f>
        <v>0</v>
      </c>
      <c r="O119" s="44"/>
    </row>
    <row r="120" spans="2:15">
      <c r="B120" s="15">
        <v>96</v>
      </c>
      <c r="C120" s="357" t="str">
        <f ca="1">VLOOKUP( $B120, Aop!$A$2:$P$456, 5, 1)</f>
        <v>350 ili 352</v>
      </c>
      <c r="D120" s="563" t="str">
        <f ca="1">VLOOKUP( $B120, Aop!$A$2:$P$456, 6, 1)</f>
        <v xml:space="preserve">    1. Gubitak ranijih godina / Višak rashoda nad prihodima ranijih godina</v>
      </c>
      <c r="E120" s="564"/>
      <c r="F120" s="564"/>
      <c r="G120" s="564"/>
      <c r="H120" s="565"/>
      <c r="I120" s="122">
        <f ca="1">VLOOKUP( $B120, Aop!$A$2:$P$456, 4, 1)</f>
        <v>129</v>
      </c>
      <c r="J120" s="155"/>
      <c r="K120" s="594"/>
      <c r="L120" s="595"/>
      <c r="M120" s="197"/>
      <c r="N120" s="156"/>
      <c r="O120" s="44"/>
    </row>
    <row r="121" spans="2:15">
      <c r="B121" s="15">
        <v>97</v>
      </c>
      <c r="C121" s="358" t="str">
        <f ca="1">VLOOKUP( $B121, Aop!$A$2:$P$456, 5, 1)</f>
        <v>351 ili 353</v>
      </c>
      <c r="D121" s="557" t="str">
        <f ca="1">VLOOKUP( $B121, Aop!$A$2:$P$456, 6, 1)</f>
        <v xml:space="preserve">    2. Gubitak tekuće godine / Višak rashoda nad prihodima tekuće godine</v>
      </c>
      <c r="E121" s="558"/>
      <c r="F121" s="558"/>
      <c r="G121" s="558"/>
      <c r="H121" s="559"/>
      <c r="I121" s="123">
        <f ca="1">VLOOKUP( $B121, Aop!$A$2:$P$456, 4, 1)</f>
        <v>130</v>
      </c>
      <c r="J121" s="153"/>
      <c r="K121" s="592"/>
      <c r="L121" s="593"/>
      <c r="M121" s="195"/>
      <c r="N121" s="154"/>
      <c r="O121" s="44"/>
    </row>
    <row r="122" spans="2:15">
      <c r="B122" s="15">
        <v>98</v>
      </c>
      <c r="C122" s="357" t="str">
        <f ca="1">VLOOKUP( $B122, Aop!$A$2:$P$456, 5, 1)</f>
        <v xml:space="preserve"> </v>
      </c>
      <c r="D122" s="584" t="str">
        <f ca="1">VLOOKUP( $B122, Aop!$A$2:$P$456, 6, 1)</f>
        <v xml:space="preserve">  XI UČEŠĆA BEZ PRAVA KONTROLE</v>
      </c>
      <c r="E122" s="585"/>
      <c r="F122" s="585"/>
      <c r="G122" s="585"/>
      <c r="H122" s="586"/>
      <c r="I122" s="168">
        <f ca="1">VLOOKUP( $B122, Aop!$A$2:$P$456, 4, 1)</f>
        <v>131</v>
      </c>
      <c r="J122" s="155"/>
      <c r="K122" s="594"/>
      <c r="L122" s="595"/>
      <c r="M122" s="201"/>
      <c r="N122" s="204"/>
      <c r="O122" s="44"/>
    </row>
    <row r="123" spans="2:15">
      <c r="B123" s="15">
        <v>99</v>
      </c>
      <c r="C123" s="358" t="str">
        <f ca="1">VLOOKUP( $B123, Aop!$A$2:$P$456, 5, 1)</f>
        <v xml:space="preserve"> </v>
      </c>
      <c r="D123" s="574" t="str">
        <f ca="1">VLOOKUP( $B123, Aop!$A$2:$P$456, 6, 1)</f>
        <v xml:space="preserve">  B. DUGOROČNA REZERVISANJA I DUGOROČNE OBAVEZE (133 + 137 + 145)</v>
      </c>
      <c r="E123" s="575"/>
      <c r="F123" s="575"/>
      <c r="G123" s="575"/>
      <c r="H123" s="576"/>
      <c r="I123" s="169">
        <f ca="1">VLOOKUP( $B123, Aop!$A$2:$P$456, 4, 1)</f>
        <v>132</v>
      </c>
      <c r="J123" s="153"/>
      <c r="K123" s="592"/>
      <c r="L123" s="593"/>
      <c r="M123" s="52">
        <f>SUBTOTAL( 9, M124:M144)</f>
        <v>0</v>
      </c>
      <c r="N123" s="62">
        <f>SUBTOTAL( 9, N124:N144)</f>
        <v>0</v>
      </c>
      <c r="O123" s="44"/>
    </row>
    <row r="124" spans="2:15">
      <c r="B124" s="15">
        <v>100</v>
      </c>
      <c r="C124" s="357" t="str">
        <f ca="1">VLOOKUP( $B124, Aop!$A$2:$P$456, 5, 1)</f>
        <v>dio 40</v>
      </c>
      <c r="D124" s="584" t="str">
        <f ca="1">VLOOKUP( $B124, Aop!$A$2:$P$456, 6, 1)</f>
        <v xml:space="preserve">  I DUGOROČNA REZERVISANJA (134 do 136)</v>
      </c>
      <c r="E124" s="585"/>
      <c r="F124" s="585"/>
      <c r="G124" s="585"/>
      <c r="H124" s="586"/>
      <c r="I124" s="168">
        <f ca="1">VLOOKUP( $B124, Aop!$A$2:$P$456, 4, 1)</f>
        <v>133</v>
      </c>
      <c r="J124" s="155"/>
      <c r="K124" s="594"/>
      <c r="L124" s="595"/>
      <c r="M124" s="50">
        <f>SUBTOTAL( 9, M125:M127)</f>
        <v>0</v>
      </c>
      <c r="N124" s="65">
        <f>SUBTOTAL( 9, N125:N127)</f>
        <v>0</v>
      </c>
      <c r="O124" s="44"/>
    </row>
    <row r="125" spans="2:15">
      <c r="B125" s="15">
        <v>101</v>
      </c>
      <c r="C125" s="358">
        <f ca="1">VLOOKUP( $B125, Aop!$A$2:$P$456, 5, 1)</f>
        <v>400</v>
      </c>
      <c r="D125" s="557" t="str">
        <f ca="1">VLOOKUP( $B125, Aop!$A$2:$P$456, 6, 1)</f>
        <v xml:space="preserve">    1. Rezervisanja za troškove u garantnom roku</v>
      </c>
      <c r="E125" s="558"/>
      <c r="F125" s="558"/>
      <c r="G125" s="558"/>
      <c r="H125" s="559"/>
      <c r="I125" s="123">
        <f ca="1">VLOOKUP( $B125, Aop!$A$2:$P$456, 4, 1)</f>
        <v>134</v>
      </c>
      <c r="J125" s="153"/>
      <c r="K125" s="592"/>
      <c r="L125" s="593"/>
      <c r="M125" s="195"/>
      <c r="N125" s="154"/>
      <c r="O125" s="44"/>
    </row>
    <row r="126" spans="2:15">
      <c r="B126" s="15">
        <v>102</v>
      </c>
      <c r="C126" s="357">
        <f ca="1">VLOOKUP( $B126, Aop!$A$2:$P$456, 5, 1)</f>
        <v>404</v>
      </c>
      <c r="D126" s="563" t="str">
        <f ca="1">VLOOKUP( $B126, Aop!$A$2:$P$456, 6, 1)</f>
        <v xml:space="preserve">    2. Rezervisanja za naknade i beneficije zaposlenih</v>
      </c>
      <c r="E126" s="564"/>
      <c r="F126" s="564"/>
      <c r="G126" s="564"/>
      <c r="H126" s="565"/>
      <c r="I126" s="122">
        <f ca="1">VLOOKUP( $B126, Aop!$A$2:$P$456, 4, 1)</f>
        <v>135</v>
      </c>
      <c r="J126" s="155"/>
      <c r="K126" s="594"/>
      <c r="L126" s="595"/>
      <c r="M126" s="197"/>
      <c r="N126" s="156"/>
      <c r="O126" s="44"/>
    </row>
    <row r="127" spans="2:15">
      <c r="B127" s="15">
        <v>103</v>
      </c>
      <c r="C127" s="358" t="str">
        <f ca="1">VLOOKUP( $B127, Aop!$A$2:$P$456, 5, 1)</f>
        <v>401, 402, 403, dio 409</v>
      </c>
      <c r="D127" s="557" t="str">
        <f ca="1">VLOOKUP( $B127, Aop!$A$2:$P$456, 6, 1)</f>
        <v xml:space="preserve">    3. Ostala dugoročna rezervisanja</v>
      </c>
      <c r="E127" s="558"/>
      <c r="F127" s="558"/>
      <c r="G127" s="558"/>
      <c r="H127" s="559"/>
      <c r="I127" s="123">
        <f ca="1">VLOOKUP( $B127, Aop!$A$2:$P$456, 4, 1)</f>
        <v>136</v>
      </c>
      <c r="J127" s="153"/>
      <c r="K127" s="592"/>
      <c r="L127" s="593"/>
      <c r="M127" s="195"/>
      <c r="N127" s="154"/>
      <c r="O127" s="44"/>
    </row>
    <row r="128" spans="2:15">
      <c r="B128" s="15">
        <v>104</v>
      </c>
      <c r="C128" s="357" t="str">
        <f ca="1">VLOOKUP( $B128, Aop!$A$2:$P$456, 5, 1)</f>
        <v xml:space="preserve"> </v>
      </c>
      <c r="D128" s="584" t="str">
        <f ca="1">VLOOKUP( $B128, Aop!$A$2:$P$456, 6, 1)</f>
        <v xml:space="preserve">  II DUGOROČNE OBAVEZE (138 do 144)</v>
      </c>
      <c r="E128" s="585"/>
      <c r="F128" s="585"/>
      <c r="G128" s="585"/>
      <c r="H128" s="586"/>
      <c r="I128" s="168">
        <f ca="1">VLOOKUP( $B128, Aop!$A$2:$P$456, 4, 1)</f>
        <v>137</v>
      </c>
      <c r="J128" s="155"/>
      <c r="K128" s="594"/>
      <c r="L128" s="595"/>
      <c r="M128" s="50">
        <f>SUBTOTAL( 9, M129:M135)</f>
        <v>0</v>
      </c>
      <c r="N128" s="65">
        <f>SUBTOTAL( 9, N129:N135)</f>
        <v>0</v>
      </c>
      <c r="O128" s="44"/>
    </row>
    <row r="129" spans="2:15">
      <c r="B129" s="15">
        <v>105</v>
      </c>
      <c r="C129" s="358">
        <f ca="1">VLOOKUP( $B129, Aop!$A$2:$P$456, 5, 1)</f>
        <v>411</v>
      </c>
      <c r="D129" s="557" t="str">
        <f ca="1">VLOOKUP( $B129, Aop!$A$2:$P$456, 6, 1)</f>
        <v xml:space="preserve">    1. Obaveze prema povezanim pravnim licima</v>
      </c>
      <c r="E129" s="558"/>
      <c r="F129" s="558"/>
      <c r="G129" s="558"/>
      <c r="H129" s="559"/>
      <c r="I129" s="123">
        <f ca="1">VLOOKUP( $B129, Aop!$A$2:$P$456, 4, 1)</f>
        <v>138</v>
      </c>
      <c r="J129" s="153"/>
      <c r="K129" s="592"/>
      <c r="L129" s="593"/>
      <c r="M129" s="195"/>
      <c r="N129" s="154"/>
      <c r="O129" s="44"/>
    </row>
    <row r="130" spans="2:15">
      <c r="B130" s="15">
        <v>106</v>
      </c>
      <c r="C130" s="357">
        <f ca="1">VLOOKUP( $B130, Aop!$A$2:$P$456, 5, 1)</f>
        <v>413</v>
      </c>
      <c r="D130" s="563" t="str">
        <f ca="1">VLOOKUP( $B130, Aop!$A$2:$P$456, 6, 1)</f>
        <v xml:space="preserve">    2. Dugoročni krediti u zemlji</v>
      </c>
      <c r="E130" s="564"/>
      <c r="F130" s="564"/>
      <c r="G130" s="564"/>
      <c r="H130" s="565"/>
      <c r="I130" s="122">
        <f ca="1">VLOOKUP( $B130, Aop!$A$2:$P$456, 4, 1)</f>
        <v>139</v>
      </c>
      <c r="J130" s="155"/>
      <c r="K130" s="594"/>
      <c r="L130" s="595"/>
      <c r="M130" s="197"/>
      <c r="N130" s="156"/>
      <c r="O130" s="44"/>
    </row>
    <row r="131" spans="2:15">
      <c r="B131" s="15">
        <v>107</v>
      </c>
      <c r="C131" s="358">
        <f ca="1">VLOOKUP( $B131, Aop!$A$2:$P$456, 5, 1)</f>
        <v>414</v>
      </c>
      <c r="D131" s="557" t="str">
        <f ca="1">VLOOKUP( $B131, Aop!$A$2:$P$456, 6, 1)</f>
        <v xml:space="preserve">    3. Dugoročni krediti u inostranstvu</v>
      </c>
      <c r="E131" s="558"/>
      <c r="F131" s="558"/>
      <c r="G131" s="558"/>
      <c r="H131" s="559"/>
      <c r="I131" s="123">
        <f ca="1">VLOOKUP( $B131, Aop!$A$2:$P$456, 4, 1)</f>
        <v>140</v>
      </c>
      <c r="J131" s="153"/>
      <c r="K131" s="592"/>
      <c r="L131" s="593"/>
      <c r="M131" s="195"/>
      <c r="N131" s="196"/>
      <c r="O131" s="44"/>
    </row>
    <row r="132" spans="2:15">
      <c r="B132" s="15">
        <v>108</v>
      </c>
      <c r="C132" s="357">
        <f ca="1">VLOOKUP( $B132, Aop!$A$2:$P$456, 5, 1)</f>
        <v>412</v>
      </c>
      <c r="D132" s="563" t="str">
        <f ca="1">VLOOKUP( $B132, Aop!$A$2:$P$456, 6, 1)</f>
        <v xml:space="preserve">    4. Obaveze po emitovanim dužničkim instrumentima</v>
      </c>
      <c r="E132" s="564"/>
      <c r="F132" s="564"/>
      <c r="G132" s="564"/>
      <c r="H132" s="565"/>
      <c r="I132" s="122">
        <f ca="1">VLOOKUP( $B132, Aop!$A$2:$P$456, 4, 1)</f>
        <v>141</v>
      </c>
      <c r="J132" s="155"/>
      <c r="K132" s="594"/>
      <c r="L132" s="595"/>
      <c r="M132" s="197"/>
      <c r="N132" s="198"/>
      <c r="O132" s="44"/>
    </row>
    <row r="133" spans="2:15">
      <c r="B133" s="15">
        <v>109</v>
      </c>
      <c r="C133" s="358" t="str">
        <f ca="1">VLOOKUP( $B133, Aop!$A$2:$P$456, 5, 1)</f>
        <v>415, 416</v>
      </c>
      <c r="D133" s="557" t="str">
        <f ca="1">VLOOKUP( $B133, Aop!$A$2:$P$456, 6, 1)</f>
        <v xml:space="preserve">    5. Dugoročne obaveze po lizingu</v>
      </c>
      <c r="E133" s="558"/>
      <c r="F133" s="558"/>
      <c r="G133" s="558"/>
      <c r="H133" s="559"/>
      <c r="I133" s="123">
        <f ca="1">VLOOKUP( $B133, Aop!$A$2:$P$456, 4, 1)</f>
        <v>142</v>
      </c>
      <c r="J133" s="153"/>
      <c r="K133" s="592"/>
      <c r="L133" s="593"/>
      <c r="M133" s="195"/>
      <c r="N133" s="196"/>
      <c r="O133" s="44"/>
    </row>
    <row r="134" spans="2:15">
      <c r="B134" s="15">
        <v>110</v>
      </c>
      <c r="C134" s="357" t="str">
        <f ca="1">VLOOKUP( $B134, Aop!$A$2:$P$456, 5, 1)</f>
        <v>418</v>
      </c>
      <c r="D134" s="563" t="str">
        <f ca="1">VLOOKUP( $B134, Aop!$A$2:$P$456, 6, 1)</f>
        <v xml:space="preserve">    6. Ostale dugoročne finansijske obaveze po amortizovanoj vrijednosti</v>
      </c>
      <c r="E134" s="564"/>
      <c r="F134" s="564"/>
      <c r="G134" s="564"/>
      <c r="H134" s="565"/>
      <c r="I134" s="122">
        <f ca="1">VLOOKUP( $B134, Aop!$A$2:$P$456, 4, 1)</f>
        <v>143</v>
      </c>
      <c r="J134" s="155"/>
      <c r="K134" s="594"/>
      <c r="L134" s="595"/>
      <c r="M134" s="197"/>
      <c r="N134" s="198"/>
      <c r="O134" s="44"/>
    </row>
    <row r="135" spans="2:15">
      <c r="B135" s="15">
        <v>111</v>
      </c>
      <c r="C135" s="358" t="str">
        <f ca="1">VLOOKUP( $B135, Aop!$A$2:$P$456, 5, 1)</f>
        <v>dio 409, 410, 419</v>
      </c>
      <c r="D135" s="557" t="str">
        <f ca="1">VLOOKUP( $B135, Aop!$A$2:$P$456, 6, 1)</f>
        <v xml:space="preserve">    7. Ostale dugoročne obaveze, uključujući razgraničenja</v>
      </c>
      <c r="E135" s="558"/>
      <c r="F135" s="558"/>
      <c r="G135" s="558"/>
      <c r="H135" s="559"/>
      <c r="I135" s="123">
        <f ca="1">VLOOKUP( $B135, Aop!$A$2:$P$456, 4, 1)</f>
        <v>144</v>
      </c>
      <c r="J135" s="153"/>
      <c r="K135" s="592"/>
      <c r="L135" s="593"/>
      <c r="M135" s="195"/>
      <c r="N135" s="196"/>
      <c r="O135" s="44"/>
    </row>
    <row r="136" spans="2:15">
      <c r="B136" s="15">
        <v>112</v>
      </c>
      <c r="C136" s="357">
        <f ca="1">VLOOKUP( $B136, Aop!$A$2:$P$456, 5, 1)</f>
        <v>408</v>
      </c>
      <c r="D136" s="584" t="str">
        <f ca="1">VLOOKUP( $B136, Aop!$A$2:$P$456, 6, 1)</f>
        <v xml:space="preserve">  III RAZGRANIČENI PRIHODI I PRIMLJENE DONACIJE</v>
      </c>
      <c r="E136" s="585"/>
      <c r="F136" s="585"/>
      <c r="G136" s="585"/>
      <c r="H136" s="586"/>
      <c r="I136" s="168">
        <f ca="1">VLOOKUP( $B136, Aop!$A$2:$P$456, 4, 1)</f>
        <v>145</v>
      </c>
      <c r="J136" s="155"/>
      <c r="K136" s="594"/>
      <c r="L136" s="595"/>
      <c r="M136" s="201"/>
      <c r="N136" s="202"/>
      <c r="O136" s="44"/>
    </row>
    <row r="137" spans="2:15">
      <c r="B137" s="15">
        <v>113</v>
      </c>
      <c r="C137" s="358">
        <f ca="1">VLOOKUP( $B137, Aop!$A$2:$P$456, 5, 1)</f>
        <v>407</v>
      </c>
      <c r="D137" s="574" t="str">
        <f ca="1">VLOOKUP( $B137, Aop!$A$2:$P$456, 6, 1)</f>
        <v xml:space="preserve">  V. ODLOŽENE PORESKE OBAVEZE </v>
      </c>
      <c r="E137" s="575"/>
      <c r="F137" s="575"/>
      <c r="G137" s="575"/>
      <c r="H137" s="576"/>
      <c r="I137" s="169">
        <f ca="1">VLOOKUP( $B137, Aop!$A$2:$P$456, 4, 1)</f>
        <v>146</v>
      </c>
      <c r="J137" s="153"/>
      <c r="K137" s="592"/>
      <c r="L137" s="593"/>
      <c r="M137" s="199"/>
      <c r="N137" s="200"/>
      <c r="O137" s="44"/>
    </row>
    <row r="138" spans="2:15" ht="23.25" customHeight="1">
      <c r="B138" s="15">
        <v>114</v>
      </c>
      <c r="C138" s="357" t="str">
        <f ca="1">VLOOKUP( $B138, Aop!$A$2:$P$456, 5, 1)</f>
        <v>42 do 49</v>
      </c>
      <c r="D138" s="584" t="str">
        <f ca="1">VLOOKUP( $B138, Aop!$A$2:$P$456, 6, 1)</f>
        <v xml:space="preserve">   G. KRATKOROČNE OBAVEZE I KRATKOROČNA REZERVISANJA(148 + 155 + 161 + 162 + 163 + 164 + 165 + 166 + 167 + 168)</v>
      </c>
      <c r="E138" s="585"/>
      <c r="F138" s="585"/>
      <c r="G138" s="585"/>
      <c r="H138" s="586"/>
      <c r="I138" s="168">
        <f ca="1">VLOOKUP( $B138, Aop!$A$2:$P$456, 4, 1)</f>
        <v>147</v>
      </c>
      <c r="J138" s="155"/>
      <c r="K138" s="594"/>
      <c r="L138" s="595"/>
      <c r="M138" s="50">
        <f>SUBTOTAL( 9, M139:M159)</f>
        <v>786101</v>
      </c>
      <c r="N138" s="51">
        <f>SUBTOTAL( 9, N139:N159)</f>
        <v>285391</v>
      </c>
      <c r="O138" s="44"/>
    </row>
    <row r="139" spans="2:15">
      <c r="B139" s="15">
        <v>115</v>
      </c>
      <c r="C139" s="358">
        <f ca="1">VLOOKUP( $B139, Aop!$A$2:$P$456, 5, 1)</f>
        <v>42</v>
      </c>
      <c r="D139" s="557" t="str">
        <f ca="1">VLOOKUP( $B139, Aop!$A$2:$P$456, 6, 1)</f>
        <v xml:space="preserve">    1. Kratkoročne finansijske obaveze (149 do 154)</v>
      </c>
      <c r="E139" s="558"/>
      <c r="F139" s="558"/>
      <c r="G139" s="558"/>
      <c r="H139" s="559"/>
      <c r="I139" s="123">
        <f ca="1">VLOOKUP( $B139, Aop!$A$2:$P$456, 4, 1)</f>
        <v>148</v>
      </c>
      <c r="J139" s="153"/>
      <c r="K139" s="592"/>
      <c r="L139" s="593"/>
      <c r="M139" s="52">
        <f>SUBTOTAL( 9, M140:M145)</f>
        <v>0</v>
      </c>
      <c r="N139" s="53">
        <f>SUBTOTAL( 9, N140:N145)</f>
        <v>0</v>
      </c>
      <c r="O139" s="44"/>
    </row>
    <row r="140" spans="2:15">
      <c r="B140" s="15">
        <v>116</v>
      </c>
      <c r="C140" s="357">
        <f ca="1">VLOOKUP( $B140, Aop!$A$2:$P$456, 5, 1)</f>
        <v>420</v>
      </c>
      <c r="D140" s="563" t="str">
        <f ca="1">VLOOKUP( $B140, Aop!$A$2:$P$456, 6, 1)</f>
        <v xml:space="preserve">      1.1. Kratkoročne finansijske obaveze prema povezanim pravnim licima</v>
      </c>
      <c r="E140" s="564"/>
      <c r="F140" s="564"/>
      <c r="G140" s="564"/>
      <c r="H140" s="565"/>
      <c r="I140" s="122">
        <f ca="1">VLOOKUP( $B140, Aop!$A$2:$P$456, 4, 1)</f>
        <v>149</v>
      </c>
      <c r="J140" s="155"/>
      <c r="K140" s="594"/>
      <c r="L140" s="595"/>
      <c r="M140" s="197"/>
      <c r="N140" s="198"/>
      <c r="O140" s="44"/>
    </row>
    <row r="141" spans="2:15">
      <c r="B141" s="15">
        <v>117</v>
      </c>
      <c r="C141" s="358" t="str">
        <f ca="1">VLOOKUP( $B141, Aop!$A$2:$P$456, 5, 1)</f>
        <v>421 do 424</v>
      </c>
      <c r="D141" s="557" t="str">
        <f ca="1">VLOOKUP( $B141, Aop!$A$2:$P$456, 6, 1)</f>
        <v xml:space="preserve">      1.2. Kratkoročni krediti i obaveze po emitovanim kratkoročnim hartijama od vrijednosti</v>
      </c>
      <c r="E141" s="558"/>
      <c r="F141" s="558"/>
      <c r="G141" s="558"/>
      <c r="H141" s="559"/>
      <c r="I141" s="123">
        <f ca="1">VLOOKUP( $B141, Aop!$A$2:$P$456, 4, 1)</f>
        <v>150</v>
      </c>
      <c r="J141" s="153"/>
      <c r="K141" s="592"/>
      <c r="L141" s="593"/>
      <c r="M141" s="195"/>
      <c r="N141" s="196"/>
      <c r="O141" s="44"/>
    </row>
    <row r="142" spans="2:15">
      <c r="B142" s="15">
        <v>118</v>
      </c>
      <c r="C142" s="357" t="str">
        <f ca="1">VLOOKUP( $B142, Aop!$A$2:$P$456, 5, 1)</f>
        <v>425 i 426</v>
      </c>
      <c r="D142" s="563" t="str">
        <f ca="1">VLOOKUP( $B142, Aop!$A$2:$P$456, 6, 1)</f>
        <v xml:space="preserve">      1.3. Kratkoročne obaveze po lizingu</v>
      </c>
      <c r="E142" s="564"/>
      <c r="F142" s="564"/>
      <c r="G142" s="564"/>
      <c r="H142" s="565"/>
      <c r="I142" s="122">
        <f ca="1">VLOOKUP( $B142, Aop!$A$2:$P$456, 4, 1)</f>
        <v>151</v>
      </c>
      <c r="J142" s="155"/>
      <c r="K142" s="594"/>
      <c r="L142" s="595"/>
      <c r="M142" s="197"/>
      <c r="N142" s="198"/>
      <c r="O142" s="44"/>
    </row>
    <row r="143" spans="2:15">
      <c r="B143" s="15">
        <v>119</v>
      </c>
      <c r="C143" s="358">
        <f ca="1">VLOOKUP( $B143, Aop!$A$2:$P$456, 5, 1)</f>
        <v>427</v>
      </c>
      <c r="D143" s="557" t="str">
        <f ca="1">VLOOKUP( $B143, Aop!$A$2:$P$456, 6, 1)</f>
        <v xml:space="preserve">      1.4. Kratkoročne obaveze po fer vrijednosti kroz bilans uspjeha</v>
      </c>
      <c r="E143" s="558"/>
      <c r="F143" s="558"/>
      <c r="G143" s="558"/>
      <c r="H143" s="559"/>
      <c r="I143" s="123">
        <f ca="1">VLOOKUP( $B143, Aop!$A$2:$P$456, 4, 1)</f>
        <v>152</v>
      </c>
      <c r="J143" s="153"/>
      <c r="K143" s="592"/>
      <c r="L143" s="593"/>
      <c r="M143" s="195"/>
      <c r="N143" s="196"/>
      <c r="O143" s="44"/>
    </row>
    <row r="144" spans="2:15">
      <c r="B144" s="15">
        <v>120</v>
      </c>
      <c r="C144" s="357">
        <f ca="1">VLOOKUP( $B144, Aop!$A$2:$P$456, 5, 1)</f>
        <v>428</v>
      </c>
      <c r="D144" s="563" t="str">
        <f ca="1">VLOOKUP( $B144, Aop!$A$2:$P$456, 6, 1)</f>
        <v xml:space="preserve">      1.5. Derivatne finansijske obaveze</v>
      </c>
      <c r="E144" s="564"/>
      <c r="F144" s="564"/>
      <c r="G144" s="564"/>
      <c r="H144" s="565"/>
      <c r="I144" s="122">
        <f ca="1">VLOOKUP( $B144, Aop!$A$2:$P$456, 4, 1)</f>
        <v>153</v>
      </c>
      <c r="J144" s="155"/>
      <c r="K144" s="594"/>
      <c r="L144" s="595"/>
      <c r="M144" s="197"/>
      <c r="N144" s="198"/>
      <c r="O144" s="44"/>
    </row>
    <row r="145" spans="2:15">
      <c r="B145" s="15">
        <v>121</v>
      </c>
      <c r="C145" s="358">
        <f ca="1">VLOOKUP( $B145, Aop!$A$2:$P$456, 5, 1)</f>
        <v>429</v>
      </c>
      <c r="D145" s="557" t="str">
        <f ca="1">VLOOKUP( $B145, Aop!$A$2:$P$456, 6, 1)</f>
        <v xml:space="preserve">      1.6. Ostale obaveze po amortizovanoj vrijednosti</v>
      </c>
      <c r="E145" s="558"/>
      <c r="F145" s="558"/>
      <c r="G145" s="558"/>
      <c r="H145" s="559"/>
      <c r="I145" s="123">
        <f ca="1">VLOOKUP( $B145, Aop!$A$2:$P$456, 4, 1)</f>
        <v>154</v>
      </c>
      <c r="J145" s="153"/>
      <c r="K145" s="592"/>
      <c r="L145" s="593"/>
      <c r="M145" s="195"/>
      <c r="N145" s="196"/>
      <c r="O145" s="44"/>
    </row>
    <row r="146" spans="2:15">
      <c r="B146" s="15">
        <v>122</v>
      </c>
      <c r="C146" s="357">
        <f ca="1">VLOOKUP( $B146, Aop!$A$2:$P$456, 5, 1)</f>
        <v>43</v>
      </c>
      <c r="D146" s="563" t="str">
        <f ca="1">VLOOKUP( $B146, Aop!$A$2:$P$456, 6, 1)</f>
        <v xml:space="preserve">    2. Obaveze iz poslovanja (156 do 160)</v>
      </c>
      <c r="E146" s="564"/>
      <c r="F146" s="564"/>
      <c r="G146" s="564"/>
      <c r="H146" s="565"/>
      <c r="I146" s="122">
        <f ca="1">VLOOKUP( $B146, Aop!$A$2:$P$456, 4, 1)</f>
        <v>155</v>
      </c>
      <c r="J146" s="155"/>
      <c r="K146" s="594"/>
      <c r="L146" s="595"/>
      <c r="M146" s="429">
        <f>SUBTOTAL( 9, M147:M151)</f>
        <v>22781</v>
      </c>
      <c r="N146" s="437">
        <f>SUBTOTAL( 9, N147:N151)</f>
        <v>200285</v>
      </c>
      <c r="O146" s="44"/>
    </row>
    <row r="147" spans="2:15">
      <c r="B147" s="15">
        <v>123</v>
      </c>
      <c r="C147" s="358" t="str">
        <f ca="1">VLOOKUP( $B147, Aop!$A$2:$P$456, 5, 1)</f>
        <v>430 i 436</v>
      </c>
      <c r="D147" s="557" t="str">
        <f ca="1">VLOOKUP( $B147, Aop!$A$2:$P$456, 6, 1)</f>
        <v xml:space="preserve">      2.1. Primljeni avansi, depoziti i kaucije</v>
      </c>
      <c r="E147" s="558"/>
      <c r="F147" s="558"/>
      <c r="G147" s="558"/>
      <c r="H147" s="559"/>
      <c r="I147" s="123">
        <f ca="1">VLOOKUP( $B147, Aop!$A$2:$P$456, 4, 1)</f>
        <v>156</v>
      </c>
      <c r="J147" s="153"/>
      <c r="K147" s="592"/>
      <c r="L147" s="593"/>
      <c r="M147" s="195">
        <v>5676</v>
      </c>
      <c r="N147" s="196">
        <v>5676</v>
      </c>
      <c r="O147" s="44"/>
    </row>
    <row r="148" spans="2:15">
      <c r="B148" s="15">
        <v>124</v>
      </c>
      <c r="C148" s="357">
        <f ca="1">VLOOKUP( $B148, Aop!$A$2:$P$456, 5, 1)</f>
        <v>431</v>
      </c>
      <c r="D148" s="563" t="str">
        <f ca="1">VLOOKUP( $B148, Aop!$A$2:$P$456, 6, 1)</f>
        <v xml:space="preserve">      2.2. Dobavljači – povezana pravna lica</v>
      </c>
      <c r="E148" s="564"/>
      <c r="F148" s="564"/>
      <c r="G148" s="564"/>
      <c r="H148" s="565"/>
      <c r="I148" s="122">
        <f ca="1">VLOOKUP( $B148, Aop!$A$2:$P$456, 4, 1)</f>
        <v>157</v>
      </c>
      <c r="J148" s="155"/>
      <c r="K148" s="594"/>
      <c r="L148" s="595"/>
      <c r="M148" s="197"/>
      <c r="N148" s="198"/>
      <c r="O148" s="44"/>
    </row>
    <row r="149" spans="2:15">
      <c r="B149" s="15">
        <v>125</v>
      </c>
      <c r="C149" s="358" t="str">
        <f ca="1">VLOOKUP( $B149, Aop!$A$2:$P$456, 5, 1)</f>
        <v>432, 433, 434</v>
      </c>
      <c r="D149" s="557" t="str">
        <f ca="1">VLOOKUP( $B149, Aop!$A$2:$P$456, 6, 1)</f>
        <v xml:space="preserve">      2.3. Dobavljači u zemlji</v>
      </c>
      <c r="E149" s="558"/>
      <c r="F149" s="558"/>
      <c r="G149" s="558"/>
      <c r="H149" s="559"/>
      <c r="I149" s="123">
        <f ca="1">VLOOKUP( $B149, Aop!$A$2:$P$456, 4, 1)</f>
        <v>158</v>
      </c>
      <c r="J149" s="153"/>
      <c r="K149" s="592"/>
      <c r="L149" s="593"/>
      <c r="M149" s="195">
        <v>15641</v>
      </c>
      <c r="N149" s="196">
        <v>193145</v>
      </c>
      <c r="O149" s="44"/>
    </row>
    <row r="150" spans="2:15">
      <c r="B150" s="15">
        <v>126</v>
      </c>
      <c r="C150" s="357">
        <f ca="1">VLOOKUP( $B150, Aop!$A$2:$P$456, 5, 1)</f>
        <v>435</v>
      </c>
      <c r="D150" s="563" t="str">
        <f ca="1">VLOOKUP( $B150, Aop!$A$2:$P$456, 6, 1)</f>
        <v xml:space="preserve">      2.4. Dobavljači iz inostranstva</v>
      </c>
      <c r="E150" s="564"/>
      <c r="F150" s="564"/>
      <c r="G150" s="564"/>
      <c r="H150" s="565"/>
      <c r="I150" s="122">
        <f ca="1">VLOOKUP( $B150, Aop!$A$2:$P$456, 4, 1)</f>
        <v>159</v>
      </c>
      <c r="J150" s="155"/>
      <c r="K150" s="594"/>
      <c r="L150" s="595"/>
      <c r="M150" s="197">
        <v>1464</v>
      </c>
      <c r="N150" s="198">
        <v>1464</v>
      </c>
      <c r="O150" s="44"/>
    </row>
    <row r="151" spans="2:15">
      <c r="B151" s="15">
        <v>127</v>
      </c>
      <c r="C151" s="358" t="str">
        <f ca="1">VLOOKUP( $B151, Aop!$A$2:$P$456, 5, 1)</f>
        <v>437, 439</v>
      </c>
      <c r="D151" s="557" t="str">
        <f ca="1">VLOOKUP( $B151, Aop!$A$2:$P$456, 6, 1)</f>
        <v xml:space="preserve">      2.5. Ostale obaveze iz poslovanja</v>
      </c>
      <c r="E151" s="558"/>
      <c r="F151" s="558"/>
      <c r="G151" s="558"/>
      <c r="H151" s="559"/>
      <c r="I151" s="123">
        <f ca="1">VLOOKUP( $B151, Aop!$A$2:$P$456, 4, 1)</f>
        <v>160</v>
      </c>
      <c r="J151" s="153"/>
      <c r="K151" s="592"/>
      <c r="L151" s="593"/>
      <c r="M151" s="195"/>
      <c r="N151" s="196"/>
      <c r="O151" s="44"/>
    </row>
    <row r="152" spans="2:15">
      <c r="B152" s="15">
        <v>128</v>
      </c>
      <c r="C152" s="357" t="str">
        <f ca="1">VLOOKUP( $B152, Aop!$A$2:$P$456, 5, 1)</f>
        <v>440 do 449</v>
      </c>
      <c r="D152" s="563" t="str">
        <f ca="1">VLOOKUP( $B152, Aop!$A$2:$P$456, 6, 1)</f>
        <v xml:space="preserve">    3. Obaveze iz specifičnih poslova</v>
      </c>
      <c r="E152" s="564"/>
      <c r="F152" s="564"/>
      <c r="G152" s="564"/>
      <c r="H152" s="565"/>
      <c r="I152" s="122">
        <f ca="1">VLOOKUP( $B152, Aop!$A$2:$P$456, 4, 1)</f>
        <v>161</v>
      </c>
      <c r="J152" s="155"/>
      <c r="K152" s="594"/>
      <c r="L152" s="595"/>
      <c r="M152" s="197"/>
      <c r="N152" s="156"/>
      <c r="O152" s="44"/>
    </row>
    <row r="153" spans="2:15">
      <c r="B153" s="15">
        <v>129</v>
      </c>
      <c r="C153" s="358" t="str">
        <f ca="1">VLOOKUP( $B153, Aop!$A$2:$P$456, 5, 1)</f>
        <v>450 do 458</v>
      </c>
      <c r="D153" s="557" t="str">
        <f ca="1">VLOOKUP( $B153, Aop!$A$2:$P$456, 6, 1)</f>
        <v xml:space="preserve">    4. Obaveze za plate i naknade plata</v>
      </c>
      <c r="E153" s="558"/>
      <c r="F153" s="558"/>
      <c r="G153" s="558"/>
      <c r="H153" s="559"/>
      <c r="I153" s="123">
        <f ca="1">VLOOKUP( $B153, Aop!$A$2:$P$456, 4, 1)</f>
        <v>162</v>
      </c>
      <c r="J153" s="153"/>
      <c r="K153" s="592"/>
      <c r="L153" s="593"/>
      <c r="M153" s="195">
        <v>99603</v>
      </c>
      <c r="N153" s="154">
        <v>68678</v>
      </c>
      <c r="O153" s="44"/>
    </row>
    <row r="154" spans="2:15">
      <c r="B154" s="15">
        <v>130</v>
      </c>
      <c r="C154" s="357" t="str">
        <f ca="1">VLOOKUP( $B154, Aop!$A$2:$P$456, 5, 1)</f>
        <v>460 do 468</v>
      </c>
      <c r="D154" s="563" t="str">
        <f ca="1">VLOOKUP( $B154, Aop!$A$2:$P$456, 6, 1)</f>
        <v xml:space="preserve">    5. Ostale obaveze</v>
      </c>
      <c r="E154" s="564"/>
      <c r="F154" s="564"/>
      <c r="G154" s="564"/>
      <c r="H154" s="565"/>
      <c r="I154" s="122">
        <f ca="1">VLOOKUP( $B154, Aop!$A$2:$P$456, 4, 1)</f>
        <v>163</v>
      </c>
      <c r="J154" s="155"/>
      <c r="K154" s="594"/>
      <c r="L154" s="595"/>
      <c r="M154" s="197">
        <v>645017</v>
      </c>
      <c r="N154" s="156">
        <v>2272</v>
      </c>
      <c r="O154" s="44"/>
    </row>
    <row r="155" spans="2:15">
      <c r="B155" s="15">
        <v>131</v>
      </c>
      <c r="C155" s="358" t="str">
        <f ca="1">VLOOKUP( $B155, Aop!$A$2:$P$456, 5, 1)</f>
        <v>470 do 479</v>
      </c>
      <c r="D155" s="557" t="str">
        <f ca="1">VLOOKUP( $B155, Aop!$A$2:$P$456, 6, 1)</f>
        <v xml:space="preserve">    6. Porez na dodatu vrijednost</v>
      </c>
      <c r="E155" s="558"/>
      <c r="F155" s="558"/>
      <c r="G155" s="558"/>
      <c r="H155" s="559"/>
      <c r="I155" s="123">
        <f ca="1">VLOOKUP( $B155, Aop!$A$2:$P$456, 4, 1)</f>
        <v>164</v>
      </c>
      <c r="J155" s="153"/>
      <c r="K155" s="592"/>
      <c r="L155" s="593"/>
      <c r="M155" s="195"/>
      <c r="N155" s="154"/>
      <c r="O155" s="44"/>
    </row>
    <row r="156" spans="2:15" ht="12.75" customHeight="1">
      <c r="B156" s="15">
        <v>132</v>
      </c>
      <c r="C156" s="357" t="str">
        <f ca="1">VLOOKUP( $B156, Aop!$A$2:$P$456, 5, 1)</f>
        <v>48, osim 481</v>
      </c>
      <c r="D156" s="563" t="str">
        <f ca="1">VLOOKUP( $B156, Aop!$A$2:$P$456, 6, 1)</f>
        <v xml:space="preserve">    7. Obaveze za ostale poreze, doprinose i druge dažbine</v>
      </c>
      <c r="E156" s="564"/>
      <c r="F156" s="564"/>
      <c r="G156" s="564"/>
      <c r="H156" s="565"/>
      <c r="I156" s="122">
        <f ca="1">VLOOKUP( $B156, Aop!$A$2:$P$456, 4, 1)</f>
        <v>165</v>
      </c>
      <c r="J156" s="155"/>
      <c r="K156" s="594"/>
      <c r="L156" s="595"/>
      <c r="M156" s="197">
        <v>18700</v>
      </c>
      <c r="N156" s="156">
        <v>14156</v>
      </c>
      <c r="O156" s="44"/>
    </row>
    <row r="157" spans="2:15" ht="10.5" customHeight="1">
      <c r="B157" s="15">
        <v>133</v>
      </c>
      <c r="C157" s="358">
        <f ca="1">VLOOKUP( $B157, Aop!$A$2:$P$456, 5, 1)</f>
        <v>481</v>
      </c>
      <c r="D157" s="557" t="str">
        <f ca="1">VLOOKUP( $B157, Aop!$A$2:$P$456, 6, 1)</f>
        <v xml:space="preserve">    8. Obaveze za porez na dobit</v>
      </c>
      <c r="E157" s="558"/>
      <c r="F157" s="558"/>
      <c r="G157" s="558"/>
      <c r="H157" s="559"/>
      <c r="I157" s="123">
        <f ca="1">VLOOKUP( $B157, Aop!$A$2:$P$456, 4, 1)</f>
        <v>166</v>
      </c>
      <c r="J157" s="153"/>
      <c r="K157" s="592"/>
      <c r="L157" s="593"/>
      <c r="M157" s="195"/>
      <c r="N157" s="154"/>
      <c r="O157" s="44"/>
    </row>
    <row r="158" spans="2:15" ht="12.75" customHeight="1">
      <c r="B158" s="15">
        <v>134</v>
      </c>
      <c r="C158" s="357" t="str">
        <f ca="1">VLOOKUP( $B158, Aop!$A$2:$P$456, 5, 1)</f>
        <v>49, osim 496</v>
      </c>
      <c r="D158" s="563" t="str">
        <f ca="1">VLOOKUP( $B158, Aop!$A$2:$P$456, 6, 1)</f>
        <v xml:space="preserve">    9. Kratkoročna razgraničenja</v>
      </c>
      <c r="E158" s="564"/>
      <c r="F158" s="564"/>
      <c r="G158" s="564"/>
      <c r="H158" s="565"/>
      <c r="I158" s="122">
        <f ca="1">VLOOKUP( $B158, Aop!$A$2:$P$456, 4, 1)</f>
        <v>167</v>
      </c>
      <c r="J158" s="155"/>
      <c r="K158" s="594"/>
      <c r="L158" s="595"/>
      <c r="M158" s="197"/>
      <c r="N158" s="198"/>
      <c r="O158" s="44"/>
    </row>
    <row r="159" spans="2:15" ht="12.75" customHeight="1">
      <c r="B159" s="15">
        <v>135</v>
      </c>
      <c r="C159" s="358">
        <f ca="1">VLOOKUP( $B159, Aop!$A$2:$P$456, 5, 1)</f>
        <v>496</v>
      </c>
      <c r="D159" s="557" t="str">
        <f ca="1">VLOOKUP( $B159, Aop!$A$2:$P$456, 6, 1)</f>
        <v xml:space="preserve">    10. Kratkoročna rezervisanja</v>
      </c>
      <c r="E159" s="558"/>
      <c r="F159" s="558"/>
      <c r="G159" s="558"/>
      <c r="H159" s="559"/>
      <c r="I159" s="123">
        <f ca="1">VLOOKUP( $B159, Aop!$A$2:$P$456, 4, 1)</f>
        <v>168</v>
      </c>
      <c r="J159" s="153"/>
      <c r="K159" s="592"/>
      <c r="L159" s="593"/>
      <c r="M159" s="195"/>
      <c r="N159" s="196"/>
    </row>
    <row r="160" spans="2:15" ht="6" customHeight="1">
      <c r="B160" s="15">
        <v>136</v>
      </c>
      <c r="C160" s="357"/>
      <c r="D160" s="563" t="str">
        <f ca="1">VLOOKUP( $B160, Aop!$A$2:$P$456, 6, 1)</f>
        <v/>
      </c>
      <c r="E160" s="564"/>
      <c r="F160" s="564"/>
      <c r="G160" s="564"/>
      <c r="H160" s="565"/>
      <c r="I160" s="168">
        <f ca="1">VLOOKUP( $B160, Aop!$A$2:$P$456, 4, 1)</f>
        <v>0</v>
      </c>
      <c r="J160" s="155"/>
      <c r="K160" s="594"/>
      <c r="L160" s="595"/>
      <c r="M160" s="197"/>
      <c r="N160" s="198"/>
    </row>
    <row r="161" spans="2:15" ht="12.75" customHeight="1">
      <c r="B161" s="15">
        <v>137</v>
      </c>
      <c r="C161" s="358">
        <f ca="1">VLOOKUP( $B161, Aop!$A$2:$P$456, 5, 1)</f>
        <v>0</v>
      </c>
      <c r="D161" s="574" t="str">
        <f ca="1">VLOOKUP( $B161, Aop!$A$2:$P$456, 6, 1)</f>
        <v xml:space="preserve">  D. BILANSNA PASIVA (101 + 132 + 146 + 147)</v>
      </c>
      <c r="E161" s="575"/>
      <c r="F161" s="575"/>
      <c r="G161" s="575"/>
      <c r="H161" s="576"/>
      <c r="I161" s="169">
        <f ca="1">VLOOKUP( $B161, Aop!$A$2:$P$456, 4, 1)</f>
        <v>169</v>
      </c>
      <c r="J161" s="153"/>
      <c r="K161" s="592"/>
      <c r="L161" s="593"/>
      <c r="M161" s="52">
        <f>SUBTOTAL( 9, M93:M100, M106:M109,M104, M110:M112,M113,M115:M118,M122:M159) - SUBTOTAL( 9, M114, M101:M103, M105,  M119:M121)</f>
        <v>72232016</v>
      </c>
      <c r="N161" s="62">
        <f>SUBTOTAL( 9, N93:N100, N106:N109,N104, N110:N112,N113,N115:N118,N122:N159) - SUBTOTAL( 9, N114, N101:N103, N105,  N119:N121)</f>
        <v>85687390</v>
      </c>
    </row>
    <row r="162" spans="2:15" ht="9.75" customHeight="1">
      <c r="B162" s="15">
        <v>138</v>
      </c>
      <c r="C162" s="362" t="str">
        <f ca="1">VLOOKUP( $B162, Aop!$A$2:$P$456, 5, 1)</f>
        <v>890 do 898</v>
      </c>
      <c r="D162" s="560" t="str">
        <f ca="1">VLOOKUP( $B162, Aop!$A$2:$P$456, 6, 1)</f>
        <v xml:space="preserve">  Đ. VANBILANSNA PASIVA</v>
      </c>
      <c r="E162" s="561"/>
      <c r="F162" s="561"/>
      <c r="G162" s="561"/>
      <c r="H162" s="562"/>
      <c r="I162" s="171">
        <f ca="1">VLOOKUP( $B162, Aop!$A$2:$P$456, 4, 1)</f>
        <v>170</v>
      </c>
      <c r="J162" s="395"/>
      <c r="K162" s="627"/>
      <c r="L162" s="628"/>
      <c r="M162" s="422">
        <v>14412988</v>
      </c>
      <c r="N162" s="423">
        <v>14412988</v>
      </c>
    </row>
    <row r="163" spans="2:15" ht="9.75" customHeight="1"/>
    <row r="164" spans="2:15">
      <c r="C164" s="178" t="str">
        <f ca="1">Podnozje_U</f>
        <v>U:</v>
      </c>
      <c r="D164" s="411" t="str">
        <f ca="1">Podatak_U</f>
        <v>Prijedoru</v>
      </c>
      <c r="F164" s="58" t="str">
        <f ca="1">Podnozje_Lice_sa_licencom</f>
        <v>Lice sa licencom:</v>
      </c>
      <c r="K164" s="36" t="str">
        <f ca="1">Podnozje_MP</f>
        <v>(M.P.)</v>
      </c>
      <c r="M164" s="625" t="str">
        <f ca="1">Podnozje_Direktor</f>
        <v>Lice ovlašćeno za zastupanje:</v>
      </c>
      <c r="N164" s="625"/>
      <c r="O164" s="625"/>
    </row>
    <row r="165" spans="2:15">
      <c r="F165" s="14" t="str">
        <f ca="1">lice</f>
        <v>Petrašin Rodić,dipl.ecc</v>
      </c>
      <c r="M165" s="626" t="str">
        <f ca="1">Podatak_Direktor</f>
        <v>Stanko Vujković,dipl.ing.maš.</v>
      </c>
      <c r="N165" s="626"/>
      <c r="O165" s="626"/>
    </row>
    <row r="166" spans="2:15">
      <c r="C166" s="178" t="str">
        <f ca="1">Podnozje_Dana</f>
        <v>Dana:</v>
      </c>
      <c r="D166" s="410" t="str">
        <f ca="1">Podatak_Dana</f>
        <v>31.07.2022.</v>
      </c>
      <c r="F166" s="14" t="str">
        <f ca="1">licenca</f>
        <v>SR -0054/22</v>
      </c>
    </row>
  </sheetData>
  <sheetProtection formatCells="0"/>
  <mergeCells count="241">
    <mergeCell ref="M165:O165"/>
    <mergeCell ref="K155:L155"/>
    <mergeCell ref="K156:L156"/>
    <mergeCell ref="K157:L157"/>
    <mergeCell ref="K158:L158"/>
    <mergeCell ref="K161:L161"/>
    <mergeCell ref="K162:L162"/>
    <mergeCell ref="K160:L160"/>
    <mergeCell ref="M164:O164"/>
    <mergeCell ref="K151:L151"/>
    <mergeCell ref="K152:L152"/>
    <mergeCell ref="K153:L153"/>
    <mergeCell ref="K159:L159"/>
    <mergeCell ref="K154:L154"/>
    <mergeCell ref="K123:L123"/>
    <mergeCell ref="K124:L124"/>
    <mergeCell ref="K125:L125"/>
    <mergeCell ref="K135:L135"/>
    <mergeCell ref="K126:L126"/>
    <mergeCell ref="K127:L127"/>
    <mergeCell ref="K130:L130"/>
    <mergeCell ref="K131:L131"/>
    <mergeCell ref="K137:L137"/>
    <mergeCell ref="K138:L138"/>
    <mergeCell ref="K139:L139"/>
    <mergeCell ref="K140:L140"/>
    <mergeCell ref="K148:L148"/>
    <mergeCell ref="K145:L145"/>
    <mergeCell ref="D150:H150"/>
    <mergeCell ref="D146:H146"/>
    <mergeCell ref="K141:L141"/>
    <mergeCell ref="K147:L147"/>
    <mergeCell ref="K143:L143"/>
    <mergeCell ref="K144:L144"/>
    <mergeCell ref="K146:L146"/>
    <mergeCell ref="K142:L142"/>
    <mergeCell ref="K149:L149"/>
    <mergeCell ref="K150:L150"/>
    <mergeCell ref="D149:H149"/>
    <mergeCell ref="D143:H143"/>
    <mergeCell ref="D137:H137"/>
    <mergeCell ref="D135:H135"/>
    <mergeCell ref="D158:H158"/>
    <mergeCell ref="D152:H152"/>
    <mergeCell ref="D136:H136"/>
    <mergeCell ref="D145:H145"/>
    <mergeCell ref="D140:H140"/>
    <mergeCell ref="D151:H151"/>
    <mergeCell ref="K116:L116"/>
    <mergeCell ref="K117:L117"/>
    <mergeCell ref="K118:L118"/>
    <mergeCell ref="D144:H144"/>
    <mergeCell ref="D138:H138"/>
    <mergeCell ref="D154:H154"/>
    <mergeCell ref="D147:H147"/>
    <mergeCell ref="D141:H141"/>
    <mergeCell ref="D139:H139"/>
    <mergeCell ref="D148:H148"/>
    <mergeCell ref="D132:H132"/>
    <mergeCell ref="D133:H133"/>
    <mergeCell ref="D134:H134"/>
    <mergeCell ref="C16:N16"/>
    <mergeCell ref="K134:L134"/>
    <mergeCell ref="K132:L132"/>
    <mergeCell ref="K133:L133"/>
    <mergeCell ref="D130:H130"/>
    <mergeCell ref="D131:H131"/>
    <mergeCell ref="D118:H118"/>
    <mergeCell ref="K114:L114"/>
    <mergeCell ref="K115:L115"/>
    <mergeCell ref="K128:L128"/>
    <mergeCell ref="K129:L129"/>
    <mergeCell ref="K136:L136"/>
    <mergeCell ref="D8:E8"/>
    <mergeCell ref="C14:N14"/>
    <mergeCell ref="L9:N9"/>
    <mergeCell ref="K122:L122"/>
    <mergeCell ref="K120:L120"/>
    <mergeCell ref="C5:E6"/>
    <mergeCell ref="D18:H19"/>
    <mergeCell ref="D20:H20"/>
    <mergeCell ref="G10:H10"/>
    <mergeCell ref="C9:E9"/>
    <mergeCell ref="C7:E7"/>
    <mergeCell ref="C10:E10"/>
    <mergeCell ref="C18:C19"/>
    <mergeCell ref="D25:H25"/>
    <mergeCell ref="D23:H23"/>
    <mergeCell ref="K18:M18"/>
    <mergeCell ref="J18:J19"/>
    <mergeCell ref="K98:L98"/>
    <mergeCell ref="K96:L96"/>
    <mergeCell ref="K92:L92"/>
    <mergeCell ref="K93:L93"/>
    <mergeCell ref="N18:N19"/>
    <mergeCell ref="D21:H21"/>
    <mergeCell ref="D22:H22"/>
    <mergeCell ref="D24:H24"/>
    <mergeCell ref="K105:L105"/>
    <mergeCell ref="C11:E11"/>
    <mergeCell ref="C12:E12"/>
    <mergeCell ref="C15:N15"/>
    <mergeCell ref="C13:E13"/>
    <mergeCell ref="I18:I19"/>
    <mergeCell ref="D26:H26"/>
    <mergeCell ref="D57:H57"/>
    <mergeCell ref="D51:H51"/>
    <mergeCell ref="D41:H41"/>
    <mergeCell ref="D37:H37"/>
    <mergeCell ref="D38:H38"/>
    <mergeCell ref="D44:H44"/>
    <mergeCell ref="D39:H39"/>
    <mergeCell ref="D40:H40"/>
    <mergeCell ref="D42:H42"/>
    <mergeCell ref="D43:H43"/>
    <mergeCell ref="D49:H49"/>
    <mergeCell ref="D36:H36"/>
    <mergeCell ref="D32:H32"/>
    <mergeCell ref="D33:H33"/>
    <mergeCell ref="D34:H34"/>
    <mergeCell ref="D35:H35"/>
    <mergeCell ref="D74:H74"/>
    <mergeCell ref="D52:H52"/>
    <mergeCell ref="D53:H53"/>
    <mergeCell ref="D54:H54"/>
    <mergeCell ref="D55:H55"/>
    <mergeCell ref="D27:H27"/>
    <mergeCell ref="D28:H28"/>
    <mergeCell ref="D30:H30"/>
    <mergeCell ref="D31:H31"/>
    <mergeCell ref="D29:H29"/>
    <mergeCell ref="D75:H75"/>
    <mergeCell ref="D65:H65"/>
    <mergeCell ref="D66:H66"/>
    <mergeCell ref="D67:H67"/>
    <mergeCell ref="D62:H62"/>
    <mergeCell ref="D77:H77"/>
    <mergeCell ref="D76:H76"/>
    <mergeCell ref="D69:H69"/>
    <mergeCell ref="D70:H70"/>
    <mergeCell ref="D73:H73"/>
    <mergeCell ref="K110:L110"/>
    <mergeCell ref="K111:L111"/>
    <mergeCell ref="K108:L108"/>
    <mergeCell ref="K109:L109"/>
    <mergeCell ref="D79:H79"/>
    <mergeCell ref="D80:H80"/>
    <mergeCell ref="K99:L99"/>
    <mergeCell ref="K104:L104"/>
    <mergeCell ref="K100:L100"/>
    <mergeCell ref="K101:L101"/>
    <mergeCell ref="K106:L106"/>
    <mergeCell ref="J89:J90"/>
    <mergeCell ref="I89:I90"/>
    <mergeCell ref="D96:H96"/>
    <mergeCell ref="D97:H97"/>
    <mergeCell ref="D98:H98"/>
    <mergeCell ref="D105:H105"/>
    <mergeCell ref="D108:H108"/>
    <mergeCell ref="D100:H100"/>
    <mergeCell ref="D103:H103"/>
    <mergeCell ref="D104:H104"/>
    <mergeCell ref="D106:H106"/>
    <mergeCell ref="D82:H82"/>
    <mergeCell ref="D83:H83"/>
    <mergeCell ref="D128:H128"/>
    <mergeCell ref="D129:H129"/>
    <mergeCell ref="D115:H115"/>
    <mergeCell ref="D114:H114"/>
    <mergeCell ref="D127:H127"/>
    <mergeCell ref="D116:H116"/>
    <mergeCell ref="D121:H121"/>
    <mergeCell ref="D117:H117"/>
    <mergeCell ref="D122:H122"/>
    <mergeCell ref="K107:L107"/>
    <mergeCell ref="D107:H107"/>
    <mergeCell ref="D94:H94"/>
    <mergeCell ref="D101:H101"/>
    <mergeCell ref="D102:H102"/>
    <mergeCell ref="K94:L94"/>
    <mergeCell ref="K95:L95"/>
    <mergeCell ref="K102:L102"/>
    <mergeCell ref="K103:L103"/>
    <mergeCell ref="K97:L97"/>
    <mergeCell ref="D109:H109"/>
    <mergeCell ref="D110:H110"/>
    <mergeCell ref="D111:H111"/>
    <mergeCell ref="K121:L121"/>
    <mergeCell ref="K112:L112"/>
    <mergeCell ref="K113:L113"/>
    <mergeCell ref="K119:L119"/>
    <mergeCell ref="D119:H119"/>
    <mergeCell ref="D120:H120"/>
    <mergeCell ref="D113:H113"/>
    <mergeCell ref="D162:H162"/>
    <mergeCell ref="C89:C90"/>
    <mergeCell ref="D157:H157"/>
    <mergeCell ref="D160:H160"/>
    <mergeCell ref="D161:H161"/>
    <mergeCell ref="D159:H159"/>
    <mergeCell ref="D153:H153"/>
    <mergeCell ref="D142:H142"/>
    <mergeCell ref="D99:H99"/>
    <mergeCell ref="D91:H91"/>
    <mergeCell ref="D155:H155"/>
    <mergeCell ref="D156:H156"/>
    <mergeCell ref="D92:H92"/>
    <mergeCell ref="D93:H93"/>
    <mergeCell ref="D95:H95"/>
    <mergeCell ref="D125:H125"/>
    <mergeCell ref="D126:H126"/>
    <mergeCell ref="D112:H112"/>
    <mergeCell ref="D123:H123"/>
    <mergeCell ref="D124:H124"/>
    <mergeCell ref="O74:O75"/>
    <mergeCell ref="O21:O22"/>
    <mergeCell ref="D45:H45"/>
    <mergeCell ref="D46:H46"/>
    <mergeCell ref="D47:H47"/>
    <mergeCell ref="D48:H48"/>
    <mergeCell ref="D71:H71"/>
    <mergeCell ref="D61:H61"/>
    <mergeCell ref="D56:H56"/>
    <mergeCell ref="D64:H64"/>
    <mergeCell ref="D50:H50"/>
    <mergeCell ref="D86:H86"/>
    <mergeCell ref="D58:H58"/>
    <mergeCell ref="D60:H60"/>
    <mergeCell ref="D59:H59"/>
    <mergeCell ref="D63:H63"/>
    <mergeCell ref="D72:H72"/>
    <mergeCell ref="D81:H81"/>
    <mergeCell ref="D78:H78"/>
    <mergeCell ref="D68:H68"/>
    <mergeCell ref="D84:H84"/>
    <mergeCell ref="D87:H87"/>
    <mergeCell ref="D85:H85"/>
    <mergeCell ref="N89:N90"/>
    <mergeCell ref="K89:L90"/>
    <mergeCell ref="M89:M90"/>
    <mergeCell ref="D89:H90"/>
  </mergeCells>
  <phoneticPr fontId="0" type="noConversion"/>
  <dataValidations xWindow="1426" yWindow="912" count="4">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N107:N109 M129:N137 M147:M160 K38:L41 K43:L44 N43:N44 K46:L49 N46:N49 M162:N162 M116:N118 M120:N122 K87:L87 M95:N100 M105:M109 N105 K58:L63 M111:N114 N140:N160 M140:M145 N58:N63 N74:N80 K66:L71 K51:L55 N66:N71 N51:N55 K82:L85 K26:L27">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104 N21:N22 M115:N115 M119:N119 K64:L65 M110:N110 M128:N128 K28:L28 M146 M21:M41 K37:L37 K45:L45 N45 K50:L50 N50 M138:N139 N56:N57 N64:N65 M161:N161 M101:N101 M106:N106 M123:N124 M43:M87 N72:N73 K56:L57 K81:L81 N81 K72:L73 N86:N87">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J21:J87 J92:J162"/>
  </dataValidations>
  <pageMargins left="0.39370078740157483" right="0.39370078740157483" top="0.39370078740157483" bottom="0.39370078740157483" header="0.31496062992125984" footer="0.23622047244094491"/>
  <pageSetup paperSize="9" scale="58" fitToHeight="2" orientation="portrait" r:id="rId1"/>
  <headerFooter alignWithMargins="0">
    <oddFooter>&amp;R&amp;"Verdana,Regular"&amp;8Strana &amp;P od &amp;N</oddFooter>
  </headerFooter>
  <rowBreaks count="1" manualBreakCount="1">
    <brk id="88" max="13" man="1"/>
  </rowBreaks>
  <drawing r:id="rId2"/>
  <legacyDrawing r:id="rId3"/>
</worksheet>
</file>

<file path=xl/worksheets/sheet4.xml><?xml version="1.0" encoding="utf-8"?>
<worksheet xmlns="http://schemas.openxmlformats.org/spreadsheetml/2006/main" xmlns:r="http://schemas.openxmlformats.org/officeDocument/2006/relationships">
  <sheetPr codeName="Sheet02a">
    <tabColor rgb="FFB2B2B2"/>
  </sheetPr>
  <dimension ref="A1:IU182"/>
  <sheetViews>
    <sheetView showGridLines="0" showRowColHeaders="0" showWhiteSpace="0" topLeftCell="A115" zoomScaleNormal="100" zoomScaleSheetLayoutView="100" workbookViewId="0">
      <pane activePane="bottomRight" state="frozen"/>
      <selection activeCell="K136" sqref="K136"/>
    </sheetView>
  </sheetViews>
  <sheetFormatPr defaultColWidth="0" defaultRowHeight="12.75" zeroHeight="1"/>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4" width="2.85546875" style="8" hidden="1"/>
  </cols>
  <sheetData>
    <row r="1" spans="3:12" ht="12.75" customHeight="1">
      <c r="C1" s="18"/>
      <c r="D1" s="18"/>
      <c r="E1" s="18"/>
      <c r="F1" s="18"/>
      <c r="G1" s="18"/>
      <c r="H1" s="18"/>
      <c r="I1" s="18"/>
      <c r="J1" s="18"/>
      <c r="K1" s="18"/>
    </row>
    <row r="2" spans="3:12" ht="12.75" customHeight="1">
      <c r="C2" s="18"/>
      <c r="D2" s="18"/>
      <c r="E2" s="18"/>
      <c r="F2" s="18"/>
      <c r="G2" s="18"/>
      <c r="H2" s="18"/>
      <c r="I2" s="18"/>
      <c r="J2" s="18"/>
      <c r="K2" s="18"/>
    </row>
    <row r="3" spans="3:12" ht="12.75" customHeight="1">
      <c r="C3" s="18"/>
      <c r="D3" s="18"/>
      <c r="E3" s="18"/>
      <c r="F3" s="18"/>
      <c r="G3" s="18"/>
      <c r="H3" s="18"/>
      <c r="I3" s="18"/>
      <c r="J3" s="18"/>
      <c r="K3" s="18"/>
    </row>
    <row r="4" spans="3:12" ht="12.75" customHeight="1">
      <c r="C4" s="18"/>
      <c r="D4" s="18"/>
      <c r="E4" s="18"/>
      <c r="F4" s="18"/>
      <c r="G4" s="18"/>
      <c r="H4" s="18"/>
      <c r="I4" s="18"/>
      <c r="J4" s="18"/>
      <c r="K4" s="18"/>
    </row>
    <row r="5" spans="3:12" ht="14.25" customHeight="1">
      <c r="C5" s="618" t="str">
        <f ca="1">Zaglavlje_Naziv_preduzeca</f>
        <v xml:space="preserve">Naziv privrednog društva, zadruge, drugog pravnog lica ili preduzetnika: </v>
      </c>
      <c r="D5" s="618"/>
      <c r="E5" s="618"/>
      <c r="K5" s="9"/>
      <c r="L5" s="393" t="str">
        <f ca="1">Podatak_MB</f>
        <v>01111329</v>
      </c>
    </row>
    <row r="6" spans="3:12" ht="14.25" customHeight="1">
      <c r="C6" s="618"/>
      <c r="D6" s="618"/>
      <c r="E6" s="618"/>
      <c r="F6" s="9"/>
      <c r="K6" s="9"/>
      <c r="L6" s="413" t="str">
        <f ca="1">Zaglavlje_MB</f>
        <v>Matični broj</v>
      </c>
    </row>
    <row r="7" spans="3:12" ht="14.25" customHeight="1">
      <c r="C7" s="621" t="str">
        <f ca="1">Podatak_Naziv_preduzeca</f>
        <v>RUDNICI ŽELJEZNE RUDE LJUBIJA AD PRIJEDOR</v>
      </c>
      <c r="D7" s="621"/>
      <c r="E7" s="621"/>
      <c r="F7" s="17"/>
      <c r="K7" s="9"/>
      <c r="L7" s="393" t="str">
        <f ca="1">Podatak_Sifra_djelatnosti</f>
        <v>07.10</v>
      </c>
    </row>
    <row r="8" spans="3:12" ht="12.75" customHeight="1">
      <c r="C8" s="126" t="str">
        <f ca="1">Zaglavlje_Sjediste</f>
        <v>Sjedište:</v>
      </c>
      <c r="D8" s="622" t="str">
        <f ca="1">Podatak_Sjediste</f>
        <v>PRIJEDOR</v>
      </c>
      <c r="E8" s="622"/>
      <c r="F8" s="17"/>
      <c r="K8" s="9"/>
      <c r="L8" s="413" t="str">
        <f ca="1">Zaglavlje_Sifra_djelatnosti</f>
        <v>Šifra djelatnosti</v>
      </c>
    </row>
    <row r="9" spans="3:12" ht="12.75" customHeight="1">
      <c r="C9" s="620" t="str">
        <f ca="1">Zaglavlje_Ziro_racun</f>
        <v>Račun kod ovlašćene organizacije za platni promet:</v>
      </c>
      <c r="D9" s="620"/>
      <c r="E9" s="620"/>
      <c r="F9" s="241"/>
      <c r="K9" s="9"/>
      <c r="L9" s="393" t="str">
        <f ca="1">Podatak_JIB</f>
        <v>4400692320002</v>
      </c>
    </row>
    <row r="10" spans="3:12" ht="12.75" customHeight="1">
      <c r="C10" s="615" t="str">
        <f ca="1">Podatak_Ziro_racun_1</f>
        <v>555-100-00160158-32</v>
      </c>
      <c r="D10" s="615"/>
      <c r="E10" s="615"/>
      <c r="F10" s="14"/>
      <c r="G10" s="13"/>
      <c r="H10" s="13"/>
      <c r="I10" s="13"/>
      <c r="J10" s="13"/>
      <c r="K10" s="655" t="str">
        <f ca="1">Zaglavlje_JIB</f>
        <v>JIB</v>
      </c>
      <c r="L10" s="655"/>
    </row>
    <row r="11" spans="3:12" ht="12.75" customHeight="1">
      <c r="C11" s="615" t="str">
        <f ca="1">Podatak_Ziro_racun_2</f>
        <v/>
      </c>
      <c r="D11" s="615"/>
      <c r="E11" s="615"/>
      <c r="F11" s="14"/>
      <c r="J11" s="242"/>
      <c r="K11" s="242"/>
    </row>
    <row r="12" spans="3:12" ht="12.75" customHeight="1">
      <c r="C12" s="640" t="str">
        <f ca="1">Podatak_Ziro_racun_3</f>
        <v/>
      </c>
      <c r="D12" s="640"/>
      <c r="E12" s="640"/>
      <c r="F12" s="14"/>
      <c r="J12" s="242"/>
      <c r="K12" s="242"/>
    </row>
    <row r="13" spans="3:12" ht="12.75" customHeight="1">
      <c r="C13" s="640" t="str">
        <f ca="1">Podatak_Ziro_racun_4</f>
        <v/>
      </c>
      <c r="D13" s="640"/>
      <c r="E13" s="640"/>
      <c r="F13" s="18"/>
      <c r="G13" s="18"/>
      <c r="H13" s="18"/>
      <c r="I13" s="18"/>
      <c r="J13"/>
      <c r="K13"/>
    </row>
    <row r="14" spans="3:12" ht="12.75" customHeight="1">
      <c r="C14" s="623" t="str">
        <f ca="1">IF( Id_Konsolidovani, Nazivi_bilansa_Konsolidovani_naziv &amp; LOWER( Nazivi_bilansa_BUa), Nazivi_bilansa_BUa)</f>
        <v>Bilans uspjeha</v>
      </c>
      <c r="D14" s="623"/>
      <c r="E14" s="623"/>
      <c r="F14" s="623"/>
      <c r="G14" s="623"/>
      <c r="H14" s="623"/>
      <c r="I14" s="623"/>
      <c r="J14" s="623"/>
      <c r="K14" s="623"/>
      <c r="L14" s="623"/>
    </row>
    <row r="15" spans="3:12" ht="12.75" customHeight="1">
      <c r="C15" s="656" t="str">
        <f ca="1">Nazivi_bilansa_BUa1</f>
        <v>(Izvještaj o ukupnom rezultatu u periodu)</v>
      </c>
      <c r="D15" s="656"/>
      <c r="E15" s="656"/>
      <c r="F15" s="656"/>
      <c r="G15" s="656"/>
      <c r="H15" s="656"/>
      <c r="I15" s="656"/>
      <c r="J15" s="656"/>
      <c r="K15" s="656"/>
      <c r="L15" s="656"/>
    </row>
    <row r="16" spans="3:12" ht="12.75" customHeight="1">
      <c r="C16" s="656" t="str">
        <f ca="1">Datumi_Datum_BU</f>
        <v>za period od 01.01. do 30.06.2022. godine</v>
      </c>
      <c r="D16" s="656"/>
      <c r="E16" s="656"/>
      <c r="F16" s="656"/>
      <c r="G16" s="656"/>
      <c r="H16" s="656"/>
      <c r="I16" s="656"/>
      <c r="J16" s="656"/>
      <c r="K16" s="656"/>
      <c r="L16" s="656"/>
    </row>
    <row r="17" spans="2:16" ht="12.75" customHeight="1">
      <c r="C17" s="40"/>
      <c r="D17" s="40"/>
      <c r="E17" s="40"/>
      <c r="F17" s="40"/>
      <c r="G17" s="40"/>
      <c r="H17" s="40"/>
      <c r="I17" s="40"/>
      <c r="J17" s="40"/>
      <c r="L17" s="436" t="str">
        <f ca="1">Tabele_zaglavlje_Valuta</f>
        <v>- u konvertibilnim markama -</v>
      </c>
    </row>
    <row r="18" spans="2:16" ht="12.75" customHeight="1">
      <c r="C18" s="641" t="str">
        <f ca="1">Tabele_zaglavlje_Grupa_racuna</f>
        <v>Grupa računa, račun</v>
      </c>
      <c r="D18" s="643" t="str">
        <f ca="1">Tabele_zaglavlje_Pozicija</f>
        <v>POZICIJA</v>
      </c>
      <c r="E18" s="644"/>
      <c r="F18" s="644"/>
      <c r="G18" s="644"/>
      <c r="H18" s="645"/>
      <c r="I18" s="635" t="str">
        <f ca="1">Tabele_zaglavlje_Oznaka_aop</f>
        <v>Oznaka za AOP</v>
      </c>
      <c r="J18" s="635" t="str">
        <f ca="1">Tabele_zaglavlje_Napomena_aop</f>
        <v>Napomena</v>
      </c>
      <c r="K18" s="657" t="str">
        <f ca="1">Tabele_zaglavlje_Iznos</f>
        <v>Iznos</v>
      </c>
      <c r="L18" s="658"/>
      <c r="N18" s="41"/>
    </row>
    <row r="19" spans="2:16" ht="20.25" customHeight="1">
      <c r="C19" s="642"/>
      <c r="D19" s="646"/>
      <c r="E19" s="647"/>
      <c r="F19" s="647"/>
      <c r="G19" s="647"/>
      <c r="H19" s="648"/>
      <c r="I19" s="636"/>
      <c r="J19" s="636"/>
      <c r="K19" s="42" t="str">
        <f ca="1">Tabele_zaglavlje_Tekuca_godina</f>
        <v>Tekuća godina</v>
      </c>
      <c r="L19" s="43" t="str">
        <f ca="1">Tabele_zaglavlje_Prethodna_godina</f>
        <v>Prethodna godina</v>
      </c>
      <c r="N19" s="41"/>
      <c r="P19" s="135" t="s">
        <v>1789</v>
      </c>
    </row>
    <row r="20" spans="2:16" ht="12.75" customHeight="1">
      <c r="B20" s="44" t="s">
        <v>1527</v>
      </c>
      <c r="C20" s="434">
        <v>1</v>
      </c>
      <c r="D20" s="649">
        <v>2</v>
      </c>
      <c r="E20" s="650"/>
      <c r="F20" s="650"/>
      <c r="G20" s="650"/>
      <c r="H20" s="651"/>
      <c r="I20" s="400">
        <v>3</v>
      </c>
      <c r="J20" s="400">
        <v>4</v>
      </c>
      <c r="K20" s="400">
        <v>5</v>
      </c>
      <c r="L20" s="401">
        <v>5</v>
      </c>
    </row>
    <row r="21" spans="2:16" ht="25.5" customHeight="1">
      <c r="B21" s="15">
        <v>139</v>
      </c>
      <c r="C21" s="440">
        <f ca="1">VLOOKUP( $B21, Aop!$A$2:$P$456, 5, 1)</f>
        <v>0</v>
      </c>
      <c r="D21" s="652" t="str">
        <f ca="1">VLOOKUP( $B21, Aop!$A$2:$P$456, 6, 1)</f>
        <v xml:space="preserve">  A. POSLOVNI PRIHODI I RASHODI
I POSLOVNI PRIHODI 
(202 + 206 + 210 + 214 – 215 + 216 – 217 + 218)</v>
      </c>
      <c r="E21" s="653"/>
      <c r="F21" s="653"/>
      <c r="G21" s="653"/>
      <c r="H21" s="654"/>
      <c r="I21" s="493">
        <f ca="1">VLOOKUP( $B21, Aop!$A$2:$P$456, 4, 1)</f>
        <v>201</v>
      </c>
      <c r="J21" s="488"/>
      <c r="K21" s="398">
        <f>SUBTOTAL(9,K22:K33,K34,K36,K38)-SUBTOTAL(9,K35,K37)</f>
        <v>17963782</v>
      </c>
      <c r="L21" s="399">
        <f>SUBTOTAL(9,L22:L33,L34,L36,L38)-SUBTOTAL(9,L35,L37)</f>
        <v>474536</v>
      </c>
      <c r="N21" s="44"/>
      <c r="P21" s="181"/>
    </row>
    <row r="22" spans="2:16" ht="13.5" customHeight="1">
      <c r="B22" s="15">
        <v>140</v>
      </c>
      <c r="C22" s="441">
        <f ca="1">VLOOKUP( $B22, Aop!$A$2:$P$456, 5, 1)</f>
        <v>60</v>
      </c>
      <c r="D22" s="629" t="str">
        <f ca="1">VLOOKUP( $B22, Aop!$A$2:$P$456, 6, 1)</f>
        <v xml:space="preserve">    1. Prihodi od prodaje robe (203 do 205)</v>
      </c>
      <c r="E22" s="630"/>
      <c r="F22" s="630"/>
      <c r="G22" s="630"/>
      <c r="H22" s="631"/>
      <c r="I22" s="123">
        <f ca="1">VLOOKUP( $B22, Aop!$A$2:$P$456, 4, 1)</f>
        <v>202</v>
      </c>
      <c r="J22" s="445"/>
      <c r="K22" s="152">
        <f>SUBTOTAL( 9, K23:K25)</f>
        <v>619385</v>
      </c>
      <c r="L22" s="471">
        <f>SUBTOTAL( 9, L23:L25)</f>
        <v>0</v>
      </c>
      <c r="N22" s="44"/>
      <c r="P22" s="181"/>
    </row>
    <row r="23" spans="2:16" ht="13.5" customHeight="1">
      <c r="B23" s="15">
        <v>141</v>
      </c>
      <c r="C23" s="442" t="str">
        <f ca="1">VLOOKUP( $B23, Aop!$A$2:$P$456, 5, 1)</f>
        <v>600, dio 605</v>
      </c>
      <c r="D23" s="632" t="str">
        <f ca="1">VLOOKUP( $B23, Aop!$A$2:$P$456, 6, 1)</f>
        <v xml:space="preserve">      a) Prihodi od prodaje robe povezanim pravnim licima</v>
      </c>
      <c r="E23" s="633"/>
      <c r="F23" s="633"/>
      <c r="G23" s="633"/>
      <c r="H23" s="634"/>
      <c r="I23" s="122">
        <f ca="1">VLOOKUP( $B23, Aop!$A$2:$P$456, 4, 1)</f>
        <v>203</v>
      </c>
      <c r="J23" s="443"/>
      <c r="K23" s="443"/>
      <c r="L23" s="444"/>
      <c r="N23" s="44"/>
      <c r="P23" s="181"/>
    </row>
    <row r="24" spans="2:16" ht="22.5" customHeight="1">
      <c r="B24" s="15">
        <v>142</v>
      </c>
      <c r="C24" s="441" t="str">
        <f ca="1">VLOOKUP( $B24, Aop!$A$2:$P$456, 5, 1)</f>
        <v>601, 602, 603,dio 605</v>
      </c>
      <c r="D24" s="629" t="str">
        <f ca="1">VLOOKUP( $B24, Aop!$A$2:$P$456, 6, 1)</f>
        <v xml:space="preserve">      b) Prihodi od prodaje robe na domaćem tržištu</v>
      </c>
      <c r="E24" s="630"/>
      <c r="F24" s="630"/>
      <c r="G24" s="630"/>
      <c r="H24" s="631"/>
      <c r="I24" s="123">
        <f ca="1">VLOOKUP( $B24, Aop!$A$2:$P$456, 4, 1)</f>
        <v>204</v>
      </c>
      <c r="J24" s="445"/>
      <c r="K24" s="445">
        <v>619385</v>
      </c>
      <c r="L24" s="446"/>
      <c r="N24" s="44"/>
      <c r="P24" s="181"/>
    </row>
    <row r="25" spans="2:16" ht="13.5" customHeight="1">
      <c r="B25" s="15">
        <v>143</v>
      </c>
      <c r="C25" s="442" t="str">
        <f ca="1">VLOOKUP( $B25, Aop!$A$2:$P$456, 5, 1)</f>
        <v>604, dio 605</v>
      </c>
      <c r="D25" s="632" t="str">
        <f ca="1">VLOOKUP( $B25, Aop!$A$2:$P$456, 6, 1)</f>
        <v xml:space="preserve">      c) Prihodi od prodaje robe na inostranom tržištu</v>
      </c>
      <c r="E25" s="633"/>
      <c r="F25" s="633"/>
      <c r="G25" s="633"/>
      <c r="H25" s="634"/>
      <c r="I25" s="122">
        <f ca="1">VLOOKUP( $B25, Aop!$A$2:$P$456, 4, 1)</f>
        <v>205</v>
      </c>
      <c r="J25" s="443"/>
      <c r="K25" s="443"/>
      <c r="L25" s="444"/>
      <c r="N25" s="44"/>
      <c r="P25" s="181"/>
    </row>
    <row r="26" spans="2:16" ht="13.5" customHeight="1">
      <c r="B26" s="15">
        <v>144</v>
      </c>
      <c r="C26" s="441" t="str">
        <f ca="1">VLOOKUP( $B26, Aop!$A$2:$P$456, 5, 1)</f>
        <v>61</v>
      </c>
      <c r="D26" s="629" t="str">
        <f ca="1">VLOOKUP( $B26, Aop!$A$2:$P$456, 6, 1)</f>
        <v xml:space="preserve">    2. Prihodi od prodaje proizvoda (207 do 209)</v>
      </c>
      <c r="E26" s="630"/>
      <c r="F26" s="630"/>
      <c r="G26" s="630"/>
      <c r="H26" s="631"/>
      <c r="I26" s="123">
        <f ca="1">VLOOKUP( $B26, Aop!$A$2:$P$456, 4, 1)</f>
        <v>206</v>
      </c>
      <c r="J26" s="445"/>
      <c r="K26" s="447">
        <f>SUBTOTAL( 9, K27:K29)</f>
        <v>0</v>
      </c>
      <c r="L26" s="448">
        <f>SUBTOTAL( 9, L27:L29)</f>
        <v>0</v>
      </c>
      <c r="N26" s="44"/>
      <c r="P26" s="181"/>
    </row>
    <row r="27" spans="2:16" ht="13.5" customHeight="1">
      <c r="B27" s="15">
        <v>145</v>
      </c>
      <c r="C27" s="442" t="str">
        <f ca="1">VLOOKUP( $B27, Aop!$A$2:$P$456, 5, 1)</f>
        <v>610, dio 615</v>
      </c>
      <c r="D27" s="632" t="str">
        <f ca="1">VLOOKUP( $B27, Aop!$A$2:$P$456, 6, 1)</f>
        <v xml:space="preserve">      a) Prihodi od prodaje proizvoda povezanim pravnim licima</v>
      </c>
      <c r="E27" s="633"/>
      <c r="F27" s="633"/>
      <c r="G27" s="633"/>
      <c r="H27" s="634"/>
      <c r="I27" s="122">
        <f ca="1">VLOOKUP( $B27, Aop!$A$2:$P$456, 4, 1)</f>
        <v>207</v>
      </c>
      <c r="J27" s="443"/>
      <c r="K27" s="443"/>
      <c r="L27" s="444"/>
      <c r="N27" s="44"/>
      <c r="P27" s="181"/>
    </row>
    <row r="28" spans="2:16" ht="22.5" customHeight="1">
      <c r="B28" s="15">
        <v>146</v>
      </c>
      <c r="C28" s="441" t="str">
        <f ca="1">VLOOKUP( $B28, Aop!$A$2:$P$456, 5, 1)</f>
        <v>611, 612, 613, dio 615</v>
      </c>
      <c r="D28" s="629" t="str">
        <f ca="1">VLOOKUP( $B28, Aop!$A$2:$P$456, 6, 1)</f>
        <v xml:space="preserve">      b) Prihodi od prodaje proizvoda na domaćem tržištu</v>
      </c>
      <c r="E28" s="630"/>
      <c r="F28" s="630"/>
      <c r="G28" s="630"/>
      <c r="H28" s="631"/>
      <c r="I28" s="123">
        <f ca="1">VLOOKUP( $B28, Aop!$A$2:$P$456, 4, 1)</f>
        <v>208</v>
      </c>
      <c r="J28" s="445"/>
      <c r="K28" s="445"/>
      <c r="L28" s="446"/>
      <c r="N28" s="44"/>
      <c r="P28" s="181"/>
    </row>
    <row r="29" spans="2:16" ht="13.5" customHeight="1">
      <c r="B29" s="15">
        <v>147</v>
      </c>
      <c r="C29" s="442" t="str">
        <f ca="1">VLOOKUP( $B29, Aop!$A$2:$P$456, 5, 1)</f>
        <v>614, dio 615</v>
      </c>
      <c r="D29" s="632" t="str">
        <f ca="1">VLOOKUP( $B29, Aop!$A$2:$P$456, 6, 1)</f>
        <v xml:space="preserve">      c) Prihodi od prodaje proizvoda na inostranom tržištu</v>
      </c>
      <c r="E29" s="633"/>
      <c r="F29" s="633"/>
      <c r="G29" s="633"/>
      <c r="H29" s="634"/>
      <c r="I29" s="122">
        <f ca="1">VLOOKUP( $B29, Aop!$A$2:$P$456, 4, 1)</f>
        <v>209</v>
      </c>
      <c r="J29" s="443"/>
      <c r="K29" s="443"/>
      <c r="L29" s="444"/>
      <c r="N29" s="44"/>
      <c r="P29" s="181"/>
    </row>
    <row r="30" spans="2:16" ht="13.5" customHeight="1">
      <c r="B30" s="15">
        <v>148</v>
      </c>
      <c r="C30" s="441" t="str">
        <f ca="1">VLOOKUP( $B30, Aop!$A$2:$P$456, 5, 1)</f>
        <v>62</v>
      </c>
      <c r="D30" s="629" t="str">
        <f ca="1">VLOOKUP( $B30, Aop!$A$2:$P$456, 6, 1)</f>
        <v xml:space="preserve">     3. Prihodi od pruženih usluga (211 do 213)</v>
      </c>
      <c r="E30" s="630"/>
      <c r="F30" s="630"/>
      <c r="G30" s="630"/>
      <c r="H30" s="631"/>
      <c r="I30" s="123">
        <f ca="1">VLOOKUP( $B30, Aop!$A$2:$P$456, 4, 1)</f>
        <v>210</v>
      </c>
      <c r="J30" s="445"/>
      <c r="K30" s="152">
        <f>SUBTOTAL( 9, K31:K33)</f>
        <v>225788</v>
      </c>
      <c r="L30" s="471">
        <f>SUBTOTAL( 9, L31:L33)</f>
        <v>446576</v>
      </c>
      <c r="N30" s="44"/>
      <c r="P30" s="181"/>
    </row>
    <row r="31" spans="2:16" ht="13.5" customHeight="1">
      <c r="B31" s="15">
        <v>149</v>
      </c>
      <c r="C31" s="442" t="str">
        <f ca="1">VLOOKUP( $B31, Aop!$A$2:$P$456, 5, 1)</f>
        <v>620, dio 625</v>
      </c>
      <c r="D31" s="632" t="str">
        <f ca="1">VLOOKUP( $B31, Aop!$A$2:$P$456, 6, 1)</f>
        <v xml:space="preserve">      a) Prihodi od pruženih usluga povezanim licima</v>
      </c>
      <c r="E31" s="633"/>
      <c r="F31" s="633"/>
      <c r="G31" s="633"/>
      <c r="H31" s="634"/>
      <c r="I31" s="122">
        <f ca="1">VLOOKUP( $B31, Aop!$A$2:$P$456, 4, 1)</f>
        <v>211</v>
      </c>
      <c r="J31" s="443"/>
      <c r="K31" s="443">
        <v>225788</v>
      </c>
      <c r="L31" s="444">
        <v>446576</v>
      </c>
      <c r="N31" s="44"/>
      <c r="P31" s="181"/>
    </row>
    <row r="32" spans="2:16" ht="22.5" customHeight="1">
      <c r="B32" s="15">
        <v>150</v>
      </c>
      <c r="C32" s="441" t="str">
        <f ca="1">VLOOKUP( $B32, Aop!$A$2:$P$456, 5, 1)</f>
        <v>621, 622, 623, dio 625</v>
      </c>
      <c r="D32" s="629" t="str">
        <f ca="1">VLOOKUP( $B32, Aop!$A$2:$P$456, 6, 1)</f>
        <v xml:space="preserve">      b) Prihodi od pruženih usluga na domaćem tržištu</v>
      </c>
      <c r="E32" s="630"/>
      <c r="F32" s="630"/>
      <c r="G32" s="630"/>
      <c r="H32" s="631"/>
      <c r="I32" s="123">
        <f ca="1">VLOOKUP( $B32, Aop!$A$2:$P$456, 4, 1)</f>
        <v>212</v>
      </c>
      <c r="J32" s="445"/>
      <c r="K32" s="445"/>
      <c r="L32" s="446"/>
      <c r="N32" s="44"/>
      <c r="P32" s="181"/>
    </row>
    <row r="33" spans="2:16" ht="13.5" customHeight="1">
      <c r="B33" s="15">
        <v>151</v>
      </c>
      <c r="C33" s="442" t="str">
        <f ca="1">VLOOKUP( $B33, Aop!$A$2:$P$456, 5, 1)</f>
        <v>624, dio 625</v>
      </c>
      <c r="D33" s="632" t="str">
        <f ca="1">VLOOKUP( $B33, Aop!$A$2:$P$456, 6, 1)</f>
        <v xml:space="preserve">      c) Prihodi od pruženih usluga na inostranom tržištu</v>
      </c>
      <c r="E33" s="633"/>
      <c r="F33" s="633"/>
      <c r="G33" s="633"/>
      <c r="H33" s="634"/>
      <c r="I33" s="122">
        <f ca="1">VLOOKUP( $B33, Aop!$A$2:$P$456, 4, 1)</f>
        <v>213</v>
      </c>
      <c r="J33" s="443"/>
      <c r="K33" s="443"/>
      <c r="L33" s="444"/>
      <c r="N33" s="44"/>
      <c r="P33" s="181"/>
    </row>
    <row r="34" spans="2:16" ht="13.5" customHeight="1">
      <c r="B34" s="15">
        <v>152</v>
      </c>
      <c r="C34" s="441" t="str">
        <f ca="1">VLOOKUP( $B34, Aop!$A$2:$P$456, 5, 1)</f>
        <v>630</v>
      </c>
      <c r="D34" s="629" t="str">
        <f ca="1">VLOOKUP( $B34, Aop!$A$2:$P$456, 6, 1)</f>
        <v xml:space="preserve">    4. Povećanje vrijednosti zaliha učinaka</v>
      </c>
      <c r="E34" s="630"/>
      <c r="F34" s="630"/>
      <c r="G34" s="630"/>
      <c r="H34" s="631"/>
      <c r="I34" s="123">
        <f ca="1">VLOOKUP( $B34, Aop!$A$2:$P$456, 4, 1)</f>
        <v>214</v>
      </c>
      <c r="J34" s="445"/>
      <c r="K34" s="445"/>
      <c r="L34" s="446"/>
      <c r="N34" s="44"/>
      <c r="P34" s="181"/>
    </row>
    <row r="35" spans="2:16" ht="13.5" customHeight="1">
      <c r="B35" s="15">
        <v>153</v>
      </c>
      <c r="C35" s="442" t="str">
        <f ca="1">VLOOKUP( $B35, Aop!$A$2:$P$456, 5, 1)</f>
        <v>631</v>
      </c>
      <c r="D35" s="632" t="str">
        <f ca="1">VLOOKUP( $B35, Aop!$A$2:$P$456, 6, 1)</f>
        <v xml:space="preserve">    5. Smanjenje vrijednosti zaliha učinaka</v>
      </c>
      <c r="E35" s="633"/>
      <c r="F35" s="633"/>
      <c r="G35" s="633"/>
      <c r="H35" s="634"/>
      <c r="I35" s="122">
        <f ca="1">VLOOKUP( $B35, Aop!$A$2:$P$456, 4, 1)</f>
        <v>215</v>
      </c>
      <c r="J35" s="443"/>
      <c r="K35" s="443"/>
      <c r="L35" s="444"/>
      <c r="N35" s="44"/>
      <c r="P35" s="181"/>
    </row>
    <row r="36" spans="2:16" ht="22.5" customHeight="1">
      <c r="B36" s="15">
        <v>154</v>
      </c>
      <c r="C36" s="441" t="str">
        <f ca="1">VLOOKUP( $B36, Aop!$A$2:$P$456, 5, 1)</f>
        <v>640 i 641</v>
      </c>
      <c r="D36" s="629" t="str">
        <f ca="1">VLOOKUP( $B36, Aop!$A$2:$P$456, 6, 1)</f>
        <v xml:space="preserve">    6. Povećanje vrijednosti investicionih nekretnina i bioloških sredstava koja se ne amortizuju</v>
      </c>
      <c r="E36" s="630"/>
      <c r="F36" s="630"/>
      <c r="G36" s="630"/>
      <c r="H36" s="631"/>
      <c r="I36" s="123">
        <f ca="1">VLOOKUP( $B36, Aop!$A$2:$P$456, 4, 1)</f>
        <v>216</v>
      </c>
      <c r="J36" s="445"/>
      <c r="K36" s="445"/>
      <c r="L36" s="446"/>
      <c r="N36" s="44"/>
      <c r="P36" s="181"/>
    </row>
    <row r="37" spans="2:16" ht="22.5" customHeight="1">
      <c r="B37" s="15">
        <v>155</v>
      </c>
      <c r="C37" s="442" t="str">
        <f ca="1">VLOOKUP( $B37, Aop!$A$2:$P$456, 5, 1)</f>
        <v>642 i 643</v>
      </c>
      <c r="D37" s="632" t="str">
        <f ca="1">VLOOKUP( $B37, Aop!$A$2:$P$456, 6, 1)</f>
        <v xml:space="preserve">    7.  Smanjenje vrijednosti investicionih nekretnina i bioloških sredstava koja se ne amortizuju</v>
      </c>
      <c r="E37" s="633"/>
      <c r="F37" s="633"/>
      <c r="G37" s="633"/>
      <c r="H37" s="634"/>
      <c r="I37" s="122">
        <f ca="1">VLOOKUP( $B37, Aop!$A$2:$P$456, 4, 1)</f>
        <v>217</v>
      </c>
      <c r="J37" s="443"/>
      <c r="K37" s="443"/>
      <c r="L37" s="444"/>
      <c r="N37" s="44"/>
      <c r="P37" s="181"/>
    </row>
    <row r="38" spans="2:16" ht="11.25" customHeight="1">
      <c r="B38" s="15">
        <v>156</v>
      </c>
      <c r="C38" s="441" t="str">
        <f ca="1">VLOOKUP( $B38, Aop!$A$2:$P$456, 5, 1)</f>
        <v>650 do 659</v>
      </c>
      <c r="D38" s="629" t="str">
        <f ca="1">VLOOKUP( $B38, Aop!$A$2:$P$456, 6, 1)</f>
        <v xml:space="preserve">    8. Ostali poslovni prihodi</v>
      </c>
      <c r="E38" s="630"/>
      <c r="F38" s="630"/>
      <c r="G38" s="630"/>
      <c r="H38" s="631"/>
      <c r="I38" s="123">
        <f ca="1">VLOOKUP( $B38, Aop!$A$2:$P$456, 4, 1)</f>
        <v>218</v>
      </c>
      <c r="J38" s="445"/>
      <c r="K38" s="445">
        <v>17118609</v>
      </c>
      <c r="L38" s="446">
        <v>27960</v>
      </c>
      <c r="N38" s="44"/>
      <c r="P38" s="181"/>
    </row>
    <row r="39" spans="2:16" ht="12.75" customHeight="1">
      <c r="B39" s="15">
        <v>157</v>
      </c>
      <c r="C39" s="442">
        <f ca="1">VLOOKUP( $B39, Aop!$A$2:$P$456, 5, 1)</f>
        <v>0</v>
      </c>
      <c r="D39" s="584" t="str">
        <f ca="1">VLOOKUP( $B39, Aop!$A$2:$P$456, 6, 1)</f>
        <v xml:space="preserve">  II  POSLOVNI RASHODI  (220 + 221 + 222 + 223 + 226 + 227 + 234 + 235 + 236)</v>
      </c>
      <c r="E39" s="585"/>
      <c r="F39" s="585"/>
      <c r="G39" s="585"/>
      <c r="H39" s="586"/>
      <c r="I39" s="168">
        <f ca="1">VLOOKUP( $B39, Aop!$A$2:$P$456, 4, 1)</f>
        <v>219</v>
      </c>
      <c r="J39" s="443"/>
      <c r="K39" s="67">
        <f>SUBTOTAL( 9, K40:K56)</f>
        <v>1493742</v>
      </c>
      <c r="L39" s="68">
        <f>SUBTOTAL( 9, L40:L56)</f>
        <v>954680</v>
      </c>
      <c r="N39" s="44"/>
      <c r="P39" s="181"/>
    </row>
    <row r="40" spans="2:16" ht="14.25" customHeight="1">
      <c r="B40" s="15">
        <v>158</v>
      </c>
      <c r="C40" s="441" t="str">
        <f ca="1">VLOOKUP( $B40, Aop!$A$2:$P$456, 5, 1)</f>
        <v>500 do 502</v>
      </c>
      <c r="D40" s="629" t="str">
        <f ca="1">VLOOKUP( $B40, Aop!$A$2:$P$456, 6, 1)</f>
        <v xml:space="preserve">    1. Nabavna vrijednost prodate robe</v>
      </c>
      <c r="E40" s="630"/>
      <c r="F40" s="630"/>
      <c r="G40" s="630"/>
      <c r="H40" s="631"/>
      <c r="I40" s="123">
        <f ca="1">VLOOKUP( $B40, Aop!$A$2:$P$456, 4, 1)</f>
        <v>220</v>
      </c>
      <c r="J40" s="445"/>
      <c r="K40" s="445"/>
      <c r="L40" s="446"/>
      <c r="N40" s="44"/>
      <c r="P40" s="181"/>
    </row>
    <row r="41" spans="2:16" ht="14.25" customHeight="1">
      <c r="B41" s="15">
        <v>159</v>
      </c>
      <c r="C41" s="442" t="str">
        <f ca="1">VLOOKUP( $B41, Aop!$A$2:$P$456, 5, 1)</f>
        <v>510 do 512</v>
      </c>
      <c r="D41" s="632" t="str">
        <f ca="1">VLOOKUP( $B41, Aop!$A$2:$P$456, 6, 1)</f>
        <v xml:space="preserve">    2. Troškovi materijala</v>
      </c>
      <c r="E41" s="633"/>
      <c r="F41" s="633"/>
      <c r="G41" s="633"/>
      <c r="H41" s="634"/>
      <c r="I41" s="122">
        <f ca="1">VLOOKUP( $B41, Aop!$A$2:$P$456, 4, 1)</f>
        <v>221</v>
      </c>
      <c r="J41" s="443"/>
      <c r="K41" s="443">
        <v>15975</v>
      </c>
      <c r="L41" s="444">
        <v>10459</v>
      </c>
      <c r="N41" s="44"/>
      <c r="P41" s="181"/>
    </row>
    <row r="42" spans="2:16" ht="14.25" customHeight="1">
      <c r="B42" s="15">
        <v>160</v>
      </c>
      <c r="C42" s="441" t="str">
        <f ca="1">VLOOKUP( $B42, Aop!$A$2:$P$456, 5, 1)</f>
        <v>513</v>
      </c>
      <c r="D42" s="629" t="str">
        <f ca="1">VLOOKUP( $B42, Aop!$A$2:$P$456, 6, 1)</f>
        <v xml:space="preserve">    3. Troškovi goriva i energije</v>
      </c>
      <c r="E42" s="630"/>
      <c r="F42" s="630"/>
      <c r="G42" s="630"/>
      <c r="H42" s="631"/>
      <c r="I42" s="123">
        <f ca="1">VLOOKUP( $B42, Aop!$A$2:$P$456, 4, 1)</f>
        <v>222</v>
      </c>
      <c r="J42" s="445"/>
      <c r="K42" s="445">
        <v>52128</v>
      </c>
      <c r="L42" s="446">
        <v>12057</v>
      </c>
      <c r="N42" s="44"/>
      <c r="P42" s="181"/>
    </row>
    <row r="43" spans="2:16" ht="22.5" customHeight="1">
      <c r="B43" s="15">
        <v>161</v>
      </c>
      <c r="C43" s="442" t="str">
        <f ca="1">VLOOKUP( $B43, Aop!$A$2:$P$456, 5, 1)</f>
        <v>52</v>
      </c>
      <c r="D43" s="632" t="str">
        <f ca="1">VLOOKUP( $B43, Aop!$A$2:$P$456, 6, 1)</f>
        <v xml:space="preserve">    4. Troškovi plata, naknada plata i ostalih ličnih primanja (224 + 225)</v>
      </c>
      <c r="E43" s="633"/>
      <c r="F43" s="633"/>
      <c r="G43" s="633"/>
      <c r="H43" s="634"/>
      <c r="I43" s="122">
        <f ca="1">VLOOKUP( $B43, Aop!$A$2:$P$456, 4, 1)</f>
        <v>223</v>
      </c>
      <c r="J43" s="443"/>
      <c r="K43" s="449">
        <f>SUBTOTAL( 9, K44:K45)</f>
        <v>596524</v>
      </c>
      <c r="L43" s="450">
        <f>SUBTOTAL( 9, L44:L45)</f>
        <v>606175</v>
      </c>
      <c r="N43" s="44"/>
      <c r="P43" s="181"/>
    </row>
    <row r="44" spans="2:16" ht="14.25" customHeight="1">
      <c r="B44" s="15">
        <v>162</v>
      </c>
      <c r="C44" s="441" t="str">
        <f ca="1">VLOOKUP( $B44, Aop!$A$2:$P$456, 5, 1)</f>
        <v>520 i 523</v>
      </c>
      <c r="D44" s="629" t="str">
        <f ca="1">VLOOKUP( $B44, Aop!$A$2:$P$456, 6, 1)</f>
        <v xml:space="preserve">      a) Troškovi bruto plata i bruto naknada plata</v>
      </c>
      <c r="E44" s="630"/>
      <c r="F44" s="630"/>
      <c r="G44" s="630"/>
      <c r="H44" s="631"/>
      <c r="I44" s="123">
        <f ca="1">VLOOKUP( $B44, Aop!$A$2:$P$456, 4, 1)</f>
        <v>224</v>
      </c>
      <c r="J44" s="445"/>
      <c r="K44" s="445">
        <v>526208</v>
      </c>
      <c r="L44" s="446">
        <v>592577</v>
      </c>
      <c r="N44" s="44"/>
      <c r="P44" s="181"/>
    </row>
    <row r="45" spans="2:16" ht="14.25" customHeight="1">
      <c r="B45" s="15">
        <v>163</v>
      </c>
      <c r="C45" s="442" t="str">
        <f ca="1">VLOOKUP( $B45, Aop!$A$2:$P$456, 5, 1)</f>
        <v>524 do 529</v>
      </c>
      <c r="D45" s="632" t="str">
        <f ca="1">VLOOKUP( $B45, Aop!$A$2:$P$456, 6, 1)</f>
        <v xml:space="preserve">      b) Troškovi ostalih ličnih primanja</v>
      </c>
      <c r="E45" s="633"/>
      <c r="F45" s="633"/>
      <c r="G45" s="633"/>
      <c r="H45" s="634"/>
      <c r="I45" s="122">
        <f ca="1">VLOOKUP( $B45, Aop!$A$2:$P$456, 4, 1)</f>
        <v>225</v>
      </c>
      <c r="J45" s="443"/>
      <c r="K45" s="443">
        <v>70316</v>
      </c>
      <c r="L45" s="444">
        <v>13598</v>
      </c>
      <c r="N45" s="44"/>
      <c r="P45" s="181"/>
    </row>
    <row r="46" spans="2:16" ht="14.25" customHeight="1">
      <c r="B46" s="15">
        <v>164</v>
      </c>
      <c r="C46" s="441" t="str">
        <f ca="1">VLOOKUP( $B46, Aop!$A$2:$P$456, 5, 1)</f>
        <v>530 do 539</v>
      </c>
      <c r="D46" s="629" t="str">
        <f ca="1">VLOOKUP( $B46, Aop!$A$2:$P$456, 6, 1)</f>
        <v xml:space="preserve">    5. Troškovi proizvodnih usluga</v>
      </c>
      <c r="E46" s="630"/>
      <c r="F46" s="630"/>
      <c r="G46" s="630"/>
      <c r="H46" s="631"/>
      <c r="I46" s="123">
        <f ca="1">VLOOKUP( $B46, Aop!$A$2:$P$456, 4, 1)</f>
        <v>226</v>
      </c>
      <c r="J46" s="445"/>
      <c r="K46" s="445">
        <v>520869</v>
      </c>
      <c r="L46" s="446">
        <v>139937</v>
      </c>
      <c r="N46" s="44"/>
      <c r="P46" s="181"/>
    </row>
    <row r="47" spans="2:16" ht="14.25" customHeight="1">
      <c r="B47" s="15">
        <v>165</v>
      </c>
      <c r="C47" s="442" t="str">
        <f ca="1">VLOOKUP( $B47, Aop!$A$2:$P$456, 5, 1)</f>
        <v>54</v>
      </c>
      <c r="D47" s="632" t="str">
        <f ca="1">VLOOKUP( $B47, Aop!$A$2:$P$456, 6, 1)</f>
        <v xml:space="preserve">    6. Troškovi amortizacije i rezervisanja (228 + 233)</v>
      </c>
      <c r="E47" s="633"/>
      <c r="F47" s="633"/>
      <c r="G47" s="633"/>
      <c r="H47" s="634"/>
      <c r="I47" s="122">
        <f ca="1">VLOOKUP( $B47, Aop!$A$2:$P$456, 4, 1)</f>
        <v>227</v>
      </c>
      <c r="J47" s="443"/>
      <c r="K47" s="449">
        <f>SUBTOTAL( 9, K48:K53)</f>
        <v>223876</v>
      </c>
      <c r="L47" s="450">
        <f>SUBTOTAL( 9, L48:L53)</f>
        <v>95283</v>
      </c>
      <c r="N47" s="44"/>
      <c r="P47" s="181"/>
    </row>
    <row r="48" spans="2:16" ht="14.25" customHeight="1">
      <c r="B48" s="15">
        <v>166</v>
      </c>
      <c r="C48" s="441" t="str">
        <f ca="1">VLOOKUP( $B48, Aop!$A$2:$P$456, 5, 1)</f>
        <v>540</v>
      </c>
      <c r="D48" s="629" t="str">
        <f ca="1">VLOOKUP( $B48, Aop!$A$2:$P$456, 6, 1)</f>
        <v xml:space="preserve">      6.1 Troškovi amortizacije (229 do 232)</v>
      </c>
      <c r="E48" s="630"/>
      <c r="F48" s="630"/>
      <c r="G48" s="630"/>
      <c r="H48" s="631"/>
      <c r="I48" s="123">
        <f ca="1">VLOOKUP( $B48, Aop!$A$2:$P$456, 4, 1)</f>
        <v>228</v>
      </c>
      <c r="J48" s="445"/>
      <c r="K48" s="447">
        <f>SUBTOTAL( 9, K49:K52)</f>
        <v>223876</v>
      </c>
      <c r="L48" s="448">
        <f>SUBTOTAL( 9, L49:L52)</f>
        <v>95283</v>
      </c>
      <c r="N48" s="44"/>
      <c r="P48" s="181"/>
    </row>
    <row r="49" spans="2:16" ht="14.25" customHeight="1">
      <c r="B49" s="15">
        <v>167</v>
      </c>
      <c r="C49" s="442" t="str">
        <f ca="1">VLOOKUP( $B49, Aop!$A$2:$P$456, 5, 1)</f>
        <v>dio 540</v>
      </c>
      <c r="D49" s="632" t="str">
        <f ca="1">VLOOKUP( $B49, Aop!$A$2:$P$456, 6, 1)</f>
        <v xml:space="preserve">        a) Amortizacija nekretnina, postrojenja i opreme</v>
      </c>
      <c r="E49" s="633"/>
      <c r="F49" s="633"/>
      <c r="G49" s="633"/>
      <c r="H49" s="634"/>
      <c r="I49" s="122">
        <f ca="1">VLOOKUP( $B49, Aop!$A$2:$P$456, 4, 1)</f>
        <v>229</v>
      </c>
      <c r="J49" s="443"/>
      <c r="K49" s="443">
        <v>223876</v>
      </c>
      <c r="L49" s="444">
        <v>95283</v>
      </c>
      <c r="N49" s="44"/>
      <c r="P49" s="181"/>
    </row>
    <row r="50" spans="2:16" ht="14.25" customHeight="1">
      <c r="B50" s="15">
        <v>168</v>
      </c>
      <c r="C50" s="441" t="str">
        <f ca="1">VLOOKUP( $B50, Aop!$A$2:$P$456, 5, 1)</f>
        <v>dio 540</v>
      </c>
      <c r="D50" s="629" t="str">
        <f ca="1">VLOOKUP( $B50, Aop!$A$2:$P$456, 6, 1)</f>
        <v xml:space="preserve">        b) Amortizacija investicionih nekretnina</v>
      </c>
      <c r="E50" s="630"/>
      <c r="F50" s="630"/>
      <c r="G50" s="630"/>
      <c r="H50" s="631"/>
      <c r="I50" s="123">
        <f ca="1">VLOOKUP( $B50, Aop!$A$2:$P$456, 4, 1)</f>
        <v>230</v>
      </c>
      <c r="J50" s="445"/>
      <c r="K50" s="445"/>
      <c r="L50" s="446"/>
      <c r="N50" s="44"/>
      <c r="P50" s="181"/>
    </row>
    <row r="51" spans="2:16" ht="14.25" customHeight="1">
      <c r="B51" s="15">
        <v>169</v>
      </c>
      <c r="C51" s="442" t="str">
        <f ca="1">VLOOKUP( $B51, Aop!$A$2:$P$456, 5, 1)</f>
        <v>dio 540</v>
      </c>
      <c r="D51" s="632" t="str">
        <f ca="1">VLOOKUP( $B51, Aop!$A$2:$P$456, 6, 1)</f>
        <v xml:space="preserve">        c) Amortizacija sredstava uzetih u zakup</v>
      </c>
      <c r="E51" s="633"/>
      <c r="F51" s="633"/>
      <c r="G51" s="633"/>
      <c r="H51" s="634"/>
      <c r="I51" s="122">
        <f ca="1">VLOOKUP( $B51, Aop!$A$2:$P$456, 4, 1)</f>
        <v>231</v>
      </c>
      <c r="J51" s="443"/>
      <c r="K51" s="443"/>
      <c r="L51" s="444"/>
      <c r="N51" s="44"/>
      <c r="P51" s="181"/>
    </row>
    <row r="52" spans="2:16" ht="14.25" customHeight="1">
      <c r="B52" s="15">
        <v>170</v>
      </c>
      <c r="C52" s="441" t="str">
        <f ca="1">VLOOKUP( $B52, Aop!$A$2:$P$456, 5, 1)</f>
        <v>dio 540</v>
      </c>
      <c r="D52" s="629" t="str">
        <f ca="1">VLOOKUP( $B52, Aop!$A$2:$P$456, 6, 1)</f>
        <v xml:space="preserve">        d) Amortizacija ostalih sredstava</v>
      </c>
      <c r="E52" s="630"/>
      <c r="F52" s="630"/>
      <c r="G52" s="630"/>
      <c r="H52" s="631"/>
      <c r="I52" s="123">
        <f ca="1">VLOOKUP( $B52, Aop!$A$2:$P$456, 4, 1)</f>
        <v>232</v>
      </c>
      <c r="J52" s="445"/>
      <c r="K52" s="445"/>
      <c r="L52" s="446"/>
      <c r="N52" s="44"/>
      <c r="P52" s="181"/>
    </row>
    <row r="53" spans="2:16" ht="14.25" customHeight="1">
      <c r="B53" s="15">
        <v>171</v>
      </c>
      <c r="C53" s="442" t="str">
        <f ca="1">VLOOKUP( $B53, Aop!$A$2:$P$456, 5, 1)</f>
        <v>541</v>
      </c>
      <c r="D53" s="632" t="str">
        <f ca="1">VLOOKUP( $B53, Aop!$A$2:$P$456, 6, 1)</f>
        <v xml:space="preserve">      6.2 Troškovi rezervisanja</v>
      </c>
      <c r="E53" s="633"/>
      <c r="F53" s="633"/>
      <c r="G53" s="633"/>
      <c r="H53" s="634"/>
      <c r="I53" s="122">
        <f ca="1">VLOOKUP( $B53, Aop!$A$2:$P$456, 4, 1)</f>
        <v>233</v>
      </c>
      <c r="J53" s="443"/>
      <c r="K53" s="443"/>
      <c r="L53" s="444"/>
      <c r="N53" s="44"/>
      <c r="P53" s="181"/>
    </row>
    <row r="54" spans="2:16" ht="14.25" customHeight="1">
      <c r="B54" s="15">
        <v>172</v>
      </c>
      <c r="C54" s="441" t="str">
        <f ca="1">VLOOKUP( $B54, Aop!$A$2:$P$456, 5, 1)</f>
        <v>55 osim 555 i 556</v>
      </c>
      <c r="D54" s="629" t="str">
        <f ca="1">VLOOKUP( $B54, Aop!$A$2:$P$456, 6, 1)</f>
        <v xml:space="preserve">    7. Nematerijalni troškovi (bez poreza i doprinosa)</v>
      </c>
      <c r="E54" s="630"/>
      <c r="F54" s="630"/>
      <c r="G54" s="630"/>
      <c r="H54" s="631"/>
      <c r="I54" s="123">
        <f ca="1">VLOOKUP( $B54, Aop!$A$2:$P$456, 4, 1)</f>
        <v>234</v>
      </c>
      <c r="J54" s="445"/>
      <c r="K54" s="445">
        <v>54410</v>
      </c>
      <c r="L54" s="446">
        <v>77741</v>
      </c>
      <c r="N54" s="44"/>
      <c r="P54" s="181"/>
    </row>
    <row r="55" spans="2:16" ht="14.25" customHeight="1">
      <c r="B55" s="15">
        <v>173</v>
      </c>
      <c r="C55" s="442" t="str">
        <f ca="1">VLOOKUP( $B55, Aop!$A$2:$P$456, 5, 1)</f>
        <v>555</v>
      </c>
      <c r="D55" s="632" t="str">
        <f ca="1">VLOOKUP( $B55, Aop!$A$2:$P$456, 6, 1)</f>
        <v xml:space="preserve">    8. Troškovi poreza</v>
      </c>
      <c r="E55" s="633"/>
      <c r="F55" s="633"/>
      <c r="G55" s="633"/>
      <c r="H55" s="634"/>
      <c r="I55" s="122">
        <f ca="1">VLOOKUP( $B55, Aop!$A$2:$P$456, 4, 1)</f>
        <v>235</v>
      </c>
      <c r="J55" s="443"/>
      <c r="K55" s="443">
        <v>27329</v>
      </c>
      <c r="L55" s="444">
        <v>11237</v>
      </c>
      <c r="N55" s="44"/>
      <c r="P55" s="181"/>
    </row>
    <row r="56" spans="2:16" ht="14.25" customHeight="1">
      <c r="B56" s="15">
        <v>174</v>
      </c>
      <c r="C56" s="441" t="str">
        <f ca="1">VLOOKUP( $B56, Aop!$A$2:$P$456, 5, 1)</f>
        <v>556</v>
      </c>
      <c r="D56" s="629" t="str">
        <f ca="1">VLOOKUP( $B56, Aop!$A$2:$P$456, 6, 1)</f>
        <v xml:space="preserve">    9. Troškovi doprinosa</v>
      </c>
      <c r="E56" s="630"/>
      <c r="F56" s="630"/>
      <c r="G56" s="630"/>
      <c r="H56" s="631"/>
      <c r="I56" s="123">
        <f ca="1">VLOOKUP( $B56, Aop!$A$2:$P$456, 4, 1)</f>
        <v>236</v>
      </c>
      <c r="J56" s="445"/>
      <c r="K56" s="445">
        <v>2631</v>
      </c>
      <c r="L56" s="446">
        <v>1791</v>
      </c>
      <c r="N56" s="44"/>
      <c r="P56" s="181"/>
    </row>
    <row r="57" spans="2:16" ht="12.75" customHeight="1">
      <c r="B57" s="15">
        <v>175</v>
      </c>
      <c r="C57" s="442">
        <f ca="1">VLOOKUP( $B57, Aop!$A$2:$P$456, 5, 1)</f>
        <v>0</v>
      </c>
      <c r="D57" s="584" t="str">
        <f ca="1">VLOOKUP( $B57, Aop!$A$2:$P$456, 6, 1)</f>
        <v xml:space="preserve">  B.  POSLOVNI DOBITAK (201 – 219)</v>
      </c>
      <c r="E57" s="585"/>
      <c r="F57" s="585"/>
      <c r="G57" s="585"/>
      <c r="H57" s="586"/>
      <c r="I57" s="168">
        <f ca="1">VLOOKUP( $B57, Aop!$A$2:$P$456, 4, 1)</f>
        <v>237</v>
      </c>
      <c r="J57" s="443"/>
      <c r="K57" s="67">
        <f>IF( SUBTOTAL( 9, K21:K34,K36,K38) - SUBTOTAL( 9, K35, K37, K39:K56)  &lt;= 0, 0, ABS( SUBTOTAL( 9, K21:K34,K36,K38) - SUBTOTAL( 9, K35, K37, K39:K56)))</f>
        <v>16470040</v>
      </c>
      <c r="L57" s="68">
        <f>IF( SUBTOTAL( 9, L21:L34,L36,L38) - SUBTOTAL( 9, L35, L37, L39:L56)  &lt;= 0, 0, ABS( SUBTOTAL( 9, L21:L34,L36,L38) - SUBTOTAL( 9, L35, L37, L39:L56)))</f>
        <v>0</v>
      </c>
      <c r="N57" s="44"/>
      <c r="P57" s="181"/>
    </row>
    <row r="58" spans="2:16" ht="12.75" customHeight="1">
      <c r="B58" s="15">
        <v>176</v>
      </c>
      <c r="C58" s="441">
        <f ca="1">VLOOKUP( $B58, Aop!$A$2:$P$456, 5, 1)</f>
        <v>0</v>
      </c>
      <c r="D58" s="574" t="str">
        <f ca="1">VLOOKUP( $B58, Aop!$A$2:$P$456, 6, 1)</f>
        <v xml:space="preserve">  V.  POSLOVNI GUBITAK (219 – 201)</v>
      </c>
      <c r="E58" s="575"/>
      <c r="F58" s="575"/>
      <c r="G58" s="575"/>
      <c r="H58" s="576"/>
      <c r="I58" s="169">
        <f ca="1">VLOOKUP( $B58, Aop!$A$2:$P$456, 4, 1)</f>
        <v>238</v>
      </c>
      <c r="J58" s="445"/>
      <c r="K58" s="31">
        <f>IF( SUBTOTAL( 9, K21:K34,K36,K38) - SUBTOTAL( 9, K35, K37, K39:K56)  &gt;= 0, 0, ABS( SUBTOTAL( 9, K21:K34,K36,K38) - SUBTOTAL( 9, K35, K37, K39:K56)))</f>
        <v>0</v>
      </c>
      <c r="L58" s="62">
        <f>IF( SUBTOTAL( 9, L21:L34,L36,L38) - SUBTOTAL( 9, L35, L37, L39:L56)  &gt;= 0, 0, ABS( SUBTOTAL( 9, L21:L34,L36,L38) - SUBTOTAL( 9, L35, L37, L39:L56)))</f>
        <v>480144</v>
      </c>
      <c r="N58" s="44"/>
      <c r="P58" s="181"/>
    </row>
    <row r="59" spans="2:16" ht="22.5" customHeight="1">
      <c r="B59" s="15">
        <v>177</v>
      </c>
      <c r="C59" s="442" t="str">
        <f ca="1">VLOOKUP( $B59, Aop!$A$2:$P$456, 5, 1)</f>
        <v>66</v>
      </c>
      <c r="D59" s="584" t="str">
        <f ca="1">VLOOKUP( $B59, Aop!$A$2:$P$456, 6, 1)</f>
        <v xml:space="preserve">  G. FINANSIJSKI PRIHODI I RASHODI _x000D_
I  FINANSIJSKI PRIHODI (240 do 243)</v>
      </c>
      <c r="E59" s="585"/>
      <c r="F59" s="585"/>
      <c r="G59" s="585"/>
      <c r="H59" s="586"/>
      <c r="I59" s="168">
        <f ca="1">VLOOKUP( $B59, Aop!$A$2:$P$456, 4, 1)</f>
        <v>239</v>
      </c>
      <c r="J59" s="443"/>
      <c r="K59" s="67">
        <f>SUBTOTAL( 9, K60:K63)</f>
        <v>4464</v>
      </c>
      <c r="L59" s="68">
        <f>SUBTOTAL( 9, L60:L63)</f>
        <v>537298</v>
      </c>
      <c r="N59" s="44"/>
      <c r="P59" s="181"/>
    </row>
    <row r="60" spans="2:16" ht="13.5" customHeight="1">
      <c r="B60" s="15">
        <v>178</v>
      </c>
      <c r="C60" s="441" t="str">
        <f ca="1">VLOOKUP( $B60, Aop!$A$2:$P$456, 5, 1)</f>
        <v>660, 661</v>
      </c>
      <c r="D60" s="629" t="str">
        <f ca="1">VLOOKUP( $B60, Aop!$A$2:$P$456, 6, 1)</f>
        <v xml:space="preserve">    1.   Prihodi od kamata</v>
      </c>
      <c r="E60" s="630"/>
      <c r="F60" s="630"/>
      <c r="G60" s="630"/>
      <c r="H60" s="631"/>
      <c r="I60" s="123">
        <f ca="1">VLOOKUP( $B60, Aop!$A$2:$P$456, 4, 1)</f>
        <v>240</v>
      </c>
      <c r="J60" s="445"/>
      <c r="K60" s="445"/>
      <c r="L60" s="446">
        <v>117</v>
      </c>
      <c r="N60" s="44"/>
      <c r="P60" s="181"/>
    </row>
    <row r="61" spans="2:16" ht="13.5" customHeight="1">
      <c r="B61" s="15">
        <v>179</v>
      </c>
      <c r="C61" s="442" t="str">
        <f ca="1">VLOOKUP( $B61, Aop!$A$2:$P$456, 5, 1)</f>
        <v>662</v>
      </c>
      <c r="D61" s="632" t="str">
        <f ca="1">VLOOKUP( $B61, Aop!$A$2:$P$456, 6, 1)</f>
        <v xml:space="preserve">    2.   Pozitivne kursne razlike</v>
      </c>
      <c r="E61" s="633"/>
      <c r="F61" s="633"/>
      <c r="G61" s="633"/>
      <c r="H61" s="634"/>
      <c r="I61" s="122">
        <f ca="1">VLOOKUP( $B61, Aop!$A$2:$P$456, 4, 1)</f>
        <v>241</v>
      </c>
      <c r="J61" s="443"/>
      <c r="K61" s="443"/>
      <c r="L61" s="444">
        <v>203</v>
      </c>
      <c r="N61" s="44"/>
      <c r="P61" s="181"/>
    </row>
    <row r="62" spans="2:16" ht="13.5" customHeight="1">
      <c r="B62" s="15">
        <v>180</v>
      </c>
      <c r="C62" s="441" t="str">
        <f ca="1">VLOOKUP( $B62, Aop!$A$2:$P$456, 5, 1)</f>
        <v>663</v>
      </c>
      <c r="D62" s="629" t="str">
        <f ca="1">VLOOKUP( $B62, Aop!$A$2:$P$456, 6, 1)</f>
        <v xml:space="preserve">    3.   Prihodi od efekata valutne klauzule</v>
      </c>
      <c r="E62" s="630"/>
      <c r="F62" s="630"/>
      <c r="G62" s="630"/>
      <c r="H62" s="631"/>
      <c r="I62" s="123">
        <f ca="1">VLOOKUP( $B62, Aop!$A$2:$P$456, 4, 1)</f>
        <v>242</v>
      </c>
      <c r="J62" s="445"/>
      <c r="K62" s="445"/>
      <c r="L62" s="446"/>
      <c r="N62" s="44"/>
      <c r="P62" s="181"/>
    </row>
    <row r="63" spans="2:16" ht="13.5" customHeight="1">
      <c r="B63" s="15">
        <v>181</v>
      </c>
      <c r="C63" s="442" t="str">
        <f ca="1">VLOOKUP( $B63, Aop!$A$2:$P$456, 5, 1)</f>
        <v>669</v>
      </c>
      <c r="D63" s="632" t="str">
        <f ca="1">VLOOKUP( $B63, Aop!$A$2:$P$456, 6, 1)</f>
        <v xml:space="preserve">    4.   Ostali finansijski prihodi</v>
      </c>
      <c r="E63" s="633"/>
      <c r="F63" s="633"/>
      <c r="G63" s="633"/>
      <c r="H63" s="634"/>
      <c r="I63" s="122">
        <f ca="1">VLOOKUP( $B63, Aop!$A$2:$P$456, 4, 1)</f>
        <v>243</v>
      </c>
      <c r="J63" s="443"/>
      <c r="K63" s="443">
        <v>4464</v>
      </c>
      <c r="L63" s="444">
        <v>536978</v>
      </c>
      <c r="N63" s="44"/>
      <c r="P63" s="181"/>
    </row>
    <row r="64" spans="2:16" ht="15" customHeight="1">
      <c r="B64" s="15">
        <v>182</v>
      </c>
      <c r="C64" s="441" t="str">
        <f ca="1">VLOOKUP( $B64, Aop!$A$2:$P$456, 5, 1)</f>
        <v>56</v>
      </c>
      <c r="D64" s="574" t="str">
        <f ca="1">VLOOKUP( $B64, Aop!$A$2:$P$456, 6, 1)</f>
        <v xml:space="preserve">  II  FINANSIJSKI RASHODI (245 do 248)</v>
      </c>
      <c r="E64" s="575"/>
      <c r="F64" s="575"/>
      <c r="G64" s="575"/>
      <c r="H64" s="576"/>
      <c r="I64" s="169">
        <f ca="1">VLOOKUP( $B64, Aop!$A$2:$P$456, 4, 1)</f>
        <v>244</v>
      </c>
      <c r="J64" s="445"/>
      <c r="K64" s="31">
        <f>SUBTOTAL( 9, K65:K68)</f>
        <v>474</v>
      </c>
      <c r="L64" s="62">
        <f>SUBTOTAL( 9, L65:L68)</f>
        <v>3540</v>
      </c>
      <c r="N64" s="44"/>
      <c r="P64" s="181"/>
    </row>
    <row r="65" spans="2:16" ht="13.5" customHeight="1">
      <c r="B65" s="15">
        <v>183</v>
      </c>
      <c r="C65" s="442" t="str">
        <f ca="1">VLOOKUP( $B65, Aop!$A$2:$P$456, 5, 1)</f>
        <v>560, 561</v>
      </c>
      <c r="D65" s="632" t="str">
        <f ca="1">VLOOKUP( $B65, Aop!$A$2:$P$456, 6, 1)</f>
        <v xml:space="preserve">    1. Rashodi kamata</v>
      </c>
      <c r="E65" s="633"/>
      <c r="F65" s="633"/>
      <c r="G65" s="633"/>
      <c r="H65" s="634"/>
      <c r="I65" s="122">
        <f ca="1">VLOOKUP( $B65, Aop!$A$2:$P$456, 4, 1)</f>
        <v>245</v>
      </c>
      <c r="J65" s="443"/>
      <c r="K65" s="443"/>
      <c r="L65" s="444"/>
      <c r="N65" s="44"/>
      <c r="P65" s="181"/>
    </row>
    <row r="66" spans="2:16" ht="13.5" customHeight="1">
      <c r="B66" s="15">
        <v>184</v>
      </c>
      <c r="C66" s="441" t="str">
        <f ca="1">VLOOKUP( $B66, Aop!$A$2:$P$456, 5, 1)</f>
        <v>562</v>
      </c>
      <c r="D66" s="629" t="str">
        <f ca="1">VLOOKUP( $B66, Aop!$A$2:$P$456, 6, 1)</f>
        <v xml:space="preserve">    2. Negativne kursne razlike</v>
      </c>
      <c r="E66" s="630"/>
      <c r="F66" s="630"/>
      <c r="G66" s="630"/>
      <c r="H66" s="631"/>
      <c r="I66" s="123">
        <f ca="1">VLOOKUP( $B66, Aop!$A$2:$P$456, 4, 1)</f>
        <v>246</v>
      </c>
      <c r="J66" s="445"/>
      <c r="K66" s="445">
        <v>22</v>
      </c>
      <c r="L66" s="446">
        <v>6</v>
      </c>
      <c r="N66" s="44"/>
      <c r="P66" s="181"/>
    </row>
    <row r="67" spans="2:16" ht="13.5" customHeight="1">
      <c r="B67" s="15">
        <v>185</v>
      </c>
      <c r="C67" s="442" t="str">
        <f ca="1">VLOOKUP( $B67, Aop!$A$2:$P$456, 5, 1)</f>
        <v>563</v>
      </c>
      <c r="D67" s="632" t="str">
        <f ca="1">VLOOKUP( $B67, Aop!$A$2:$P$456, 6, 1)</f>
        <v xml:space="preserve">    3. Rashodi po osnovu valutne klauzule</v>
      </c>
      <c r="E67" s="633"/>
      <c r="F67" s="633"/>
      <c r="G67" s="633"/>
      <c r="H67" s="634"/>
      <c r="I67" s="122">
        <f ca="1">VLOOKUP( $B67, Aop!$A$2:$P$456, 4, 1)</f>
        <v>247</v>
      </c>
      <c r="J67" s="443"/>
      <c r="K67" s="443"/>
      <c r="L67" s="444">
        <v>1474</v>
      </c>
      <c r="N67" s="44"/>
      <c r="P67" s="181"/>
    </row>
    <row r="68" spans="2:16" ht="13.5" customHeight="1">
      <c r="B68" s="15">
        <v>186</v>
      </c>
      <c r="C68" s="441" t="str">
        <f ca="1">VLOOKUP( $B68, Aop!$A$2:$P$456, 5, 1)</f>
        <v>569</v>
      </c>
      <c r="D68" s="629" t="str">
        <f ca="1">VLOOKUP( $B68, Aop!$A$2:$P$456, 6, 1)</f>
        <v xml:space="preserve">    4. Ostali finansijski rashodi</v>
      </c>
      <c r="E68" s="630"/>
      <c r="F68" s="630"/>
      <c r="G68" s="630"/>
      <c r="H68" s="631"/>
      <c r="I68" s="123">
        <f ca="1">VLOOKUP( $B68, Aop!$A$2:$P$456, 4, 1)</f>
        <v>248</v>
      </c>
      <c r="J68" s="445"/>
      <c r="K68" s="445">
        <v>452</v>
      </c>
      <c r="L68" s="446">
        <v>2060</v>
      </c>
      <c r="N68" s="44"/>
      <c r="P68" s="181"/>
    </row>
    <row r="69" spans="2:16" ht="15" customHeight="1">
      <c r="B69" s="15">
        <v>187</v>
      </c>
      <c r="C69" s="355">
        <f ca="1">VLOOKUP( $B69, Aop!$A$2:$P$456, 5, 1)</f>
        <v>0</v>
      </c>
      <c r="D69" s="584" t="str">
        <f ca="1">VLOOKUP( $B69, Aop!$A$2:$P$456, 6, 1)</f>
        <v xml:space="preserve">  D. DOBITAK REDOVNE AKTIVNOSTI  (237 + 239 – 244) ili (239-244-238)     </v>
      </c>
      <c r="E69" s="585"/>
      <c r="F69" s="585"/>
      <c r="G69" s="585"/>
      <c r="H69" s="586"/>
      <c r="I69" s="168">
        <f ca="1">VLOOKUP( $B69, Aop!$A$2:$P$456, 4, 1)</f>
        <v>249</v>
      </c>
      <c r="J69" s="443"/>
      <c r="K69" s="67">
        <f>IF( SUBTOTAL( 9, K21:K34,K36, K38,K59:K63) - SUBTOTAL( 9, K35, K37, K39:K56, K64:K68) &lt;= 0, 0, ABS( SUBTOTAL( 9, K21:K34,K36,K38, K59:K63) - SUBTOTAL( 9, K35, K37, K39:K56, K64:K68)))</f>
        <v>16474030</v>
      </c>
      <c r="L69" s="68">
        <f>IF( SUBTOTAL( 9, L21:L34,L36, L38,L59:L63) - SUBTOTAL( 9, L35, L37, L39:L56, L64:L68) &lt;= 0, 0, ABS( SUBTOTAL( 9, L21:L34,L36,L38, L59:L63) - SUBTOTAL( 9, L35, L37, L39:L56, L64:L68)))</f>
        <v>53614</v>
      </c>
      <c r="N69" s="44"/>
      <c r="P69" s="181"/>
    </row>
    <row r="70" spans="2:16" ht="15" customHeight="1">
      <c r="B70" s="15">
        <v>188</v>
      </c>
      <c r="C70" s="441">
        <f ca="1">VLOOKUP( $B70, Aop!$A$2:$P$456, 5, 1)</f>
        <v>0</v>
      </c>
      <c r="D70" s="574" t="str">
        <f ca="1">VLOOKUP( $B70, Aop!$A$2:$P$456, 6, 1)</f>
        <v xml:space="preserve">  Đ. GUBITAK REDOVNE AKTIVNOSTI (238 + 244 -239) ili (244-239-237)</v>
      </c>
      <c r="E70" s="575"/>
      <c r="F70" s="575"/>
      <c r="G70" s="575"/>
      <c r="H70" s="576"/>
      <c r="I70" s="169">
        <f ca="1">VLOOKUP( $B70, Aop!$A$2:$P$456, 4, 1)</f>
        <v>250</v>
      </c>
      <c r="J70" s="445"/>
      <c r="K70" s="31">
        <f>IF( SUBTOTAL( 9, K21:K34,K36,K38,K59:K63) - SUBTOTAL( 9, K35, K37, K39:K56,K64:K68)  &gt;= 0, 0, ABS( SUBTOTAL( 9, K21:K34,K36,K38,K59:K63) - SUBTOTAL( 9, K35, K37, K39:K56,K64:K68)))</f>
        <v>0</v>
      </c>
      <c r="L70" s="62">
        <f>IF( SUBTOTAL( 9, L21:L34,L36,L38,L59:L63) - SUBTOTAL( 9, L35, L37, L39:L56,L64:L68)  &gt;= 0, 0, ABS( SUBTOTAL( 9, L21:L34,L36,L38,L59:L63) - SUBTOTAL( 9, L35, L37, L39:L56,L64:L68)))</f>
        <v>0</v>
      </c>
      <c r="N70" s="44"/>
      <c r="P70" s="181"/>
    </row>
    <row r="71" spans="2:16" ht="23.25" customHeight="1">
      <c r="B71" s="15">
        <v>189</v>
      </c>
      <c r="C71" s="442" t="str">
        <f ca="1">VLOOKUP( $B71, Aop!$A$2:$P$456, 5, 1)</f>
        <v>67</v>
      </c>
      <c r="D71" s="584" t="str">
        <f ca="1">VLOOKUP( $B71, Aop!$A$2:$P$456, 6, 1)</f>
        <v xml:space="preserve">  E. OSTALI DOBICI I GUBICI I OSTALI PRIHODI I DOBICI (252 do 260)</v>
      </c>
      <c r="E71" s="585"/>
      <c r="F71" s="585"/>
      <c r="G71" s="585"/>
      <c r="H71" s="586"/>
      <c r="I71" s="168">
        <f ca="1">VLOOKUP( $B71, Aop!$A$2:$P$456, 4, 1)</f>
        <v>251</v>
      </c>
      <c r="J71" s="443"/>
      <c r="K71" s="32">
        <f>SUBTOTAL( 9, K72:K80)</f>
        <v>503</v>
      </c>
      <c r="L71" s="65">
        <f>SUBTOTAL( 9, L72:L80)</f>
        <v>0</v>
      </c>
      <c r="N71" s="44"/>
      <c r="P71" s="181"/>
    </row>
    <row r="72" spans="2:16" ht="23.25" customHeight="1">
      <c r="B72" s="15">
        <v>190</v>
      </c>
      <c r="C72" s="441" t="str">
        <f ca="1">VLOOKUP( $B72, Aop!$A$2:$P$456, 5, 1)</f>
        <v>670, 570 neto prikaz</v>
      </c>
      <c r="D72" s="629" t="str">
        <f ca="1">VLOOKUP( $B72, Aop!$A$2:$P$456, 6, 1)</f>
        <v xml:space="preserve">    1. Neto dobici po osnovu prodaje nematerijalnih sredstava, nekretnina, postrojenja i opreme</v>
      </c>
      <c r="E72" s="630"/>
      <c r="F72" s="630"/>
      <c r="G72" s="630"/>
      <c r="H72" s="631"/>
      <c r="I72" s="123">
        <f ca="1">VLOOKUP( $B72, Aop!$A$2:$P$456, 4, 1)</f>
        <v>252</v>
      </c>
      <c r="J72" s="445"/>
      <c r="K72" s="445"/>
      <c r="L72" s="446"/>
      <c r="N72" s="44"/>
      <c r="P72" s="181"/>
    </row>
    <row r="73" spans="2:16" ht="23.25" customHeight="1">
      <c r="B73" s="15">
        <v>191</v>
      </c>
      <c r="C73" s="442" t="str">
        <f ca="1">VLOOKUP( $B73, Aop!$A$2:$P$456, 5, 1)</f>
        <v>671, 571 neto prikaz</v>
      </c>
      <c r="D73" s="632" t="str">
        <f ca="1">VLOOKUP( $B73, Aop!$A$2:$P$456, 6, 1)</f>
        <v xml:space="preserve">    2. Neto dobici po osnovu prodaje investicionih nekretnina</v>
      </c>
      <c r="E73" s="633"/>
      <c r="F73" s="633"/>
      <c r="G73" s="633"/>
      <c r="H73" s="634"/>
      <c r="I73" s="122">
        <f ca="1">VLOOKUP( $B73, Aop!$A$2:$P$456, 4, 1)</f>
        <v>253</v>
      </c>
      <c r="J73" s="443"/>
      <c r="K73" s="443"/>
      <c r="L73" s="444"/>
      <c r="N73" s="44"/>
      <c r="P73" s="181"/>
    </row>
    <row r="74" spans="2:16" ht="23.25" customHeight="1">
      <c r="B74" s="15">
        <v>192</v>
      </c>
      <c r="C74" s="441" t="str">
        <f ca="1">VLOOKUP( $B74, Aop!$A$2:$P$456, 5, 1)</f>
        <v>672, 572 neto prikaz</v>
      </c>
      <c r="D74" s="629" t="str">
        <f ca="1">VLOOKUP( $B74, Aop!$A$2:$P$456, 6, 1)</f>
        <v xml:space="preserve">    3. Neto dobici po osnovu prodaje bioloških sredstava</v>
      </c>
      <c r="E74" s="630"/>
      <c r="F74" s="630"/>
      <c r="G74" s="630"/>
      <c r="H74" s="631"/>
      <c r="I74" s="123">
        <f ca="1">VLOOKUP( $B74, Aop!$A$2:$P$456, 4, 1)</f>
        <v>254</v>
      </c>
      <c r="J74" s="445"/>
      <c r="K74" s="445"/>
      <c r="L74" s="446"/>
      <c r="N74" s="44"/>
      <c r="P74" s="181"/>
    </row>
    <row r="75" spans="2:16" ht="23.25" customHeight="1">
      <c r="B75" s="15">
        <v>193</v>
      </c>
      <c r="C75" s="442" t="str">
        <f ca="1">VLOOKUP( $B75, Aop!$A$2:$P$456, 5, 1)</f>
        <v>673, 573, neto prikaz</v>
      </c>
      <c r="D75" s="632" t="str">
        <f ca="1">VLOOKUP( $B75, Aop!$A$2:$P$456, 6, 1)</f>
        <v xml:space="preserve">    4. Neto dobici po osnovu prodaje stalnih sredstava namijenjenih prodaji i sredstava poslovanja koje se obustavlja</v>
      </c>
      <c r="E75" s="633"/>
      <c r="F75" s="633"/>
      <c r="G75" s="633"/>
      <c r="H75" s="634"/>
      <c r="I75" s="122">
        <f ca="1">VLOOKUP( $B75, Aop!$A$2:$P$456, 4, 1)</f>
        <v>255</v>
      </c>
      <c r="J75" s="443"/>
      <c r="K75" s="443"/>
      <c r="L75" s="444"/>
      <c r="N75" s="44"/>
      <c r="P75" s="181"/>
    </row>
    <row r="76" spans="2:16" ht="23.25" customHeight="1">
      <c r="B76" s="15">
        <v>194</v>
      </c>
      <c r="C76" s="441" t="str">
        <f ca="1">VLOOKUP( $B76, Aop!$A$2:$P$456, 5, 1)</f>
        <v>674, 574 neto prikaz</v>
      </c>
      <c r="D76" s="629" t="str">
        <f ca="1">VLOOKUP( $B76, Aop!$A$2:$P$456, 6, 1)</f>
        <v xml:space="preserve">    5. Neto dobici po osnovu prodaje finansijskih sredstava i ulaganja u povezana lica</v>
      </c>
      <c r="E76" s="630"/>
      <c r="F76" s="630"/>
      <c r="G76" s="630"/>
      <c r="H76" s="631"/>
      <c r="I76" s="123">
        <f ca="1">VLOOKUP( $B76, Aop!$A$2:$P$456, 4, 1)</f>
        <v>256</v>
      </c>
      <c r="J76" s="445"/>
      <c r="K76" s="445"/>
      <c r="L76" s="446"/>
      <c r="N76" s="44"/>
      <c r="P76" s="181"/>
    </row>
    <row r="77" spans="2:16" ht="23.25" customHeight="1">
      <c r="B77" s="15">
        <v>195</v>
      </c>
      <c r="C77" s="442" t="str">
        <f ca="1">VLOOKUP( $B77, Aop!$A$2:$P$456, 5, 1)</f>
        <v>675, 575 neto prikaz</v>
      </c>
      <c r="D77" s="632" t="str">
        <f ca="1">VLOOKUP( $B77, Aop!$A$2:$P$456, 6, 1)</f>
        <v xml:space="preserve">    6. Neto dobici po osnovu prodaje materijala</v>
      </c>
      <c r="E77" s="633"/>
      <c r="F77" s="633"/>
      <c r="G77" s="633"/>
      <c r="H77" s="634"/>
      <c r="I77" s="122">
        <f ca="1">VLOOKUP( $B77, Aop!$A$2:$P$456, 4, 1)</f>
        <v>257</v>
      </c>
      <c r="J77" s="443"/>
      <c r="K77" s="443"/>
      <c r="L77" s="444"/>
      <c r="N77" s="44"/>
      <c r="P77" s="181"/>
    </row>
    <row r="78" spans="2:16" ht="13.5" customHeight="1">
      <c r="B78" s="15">
        <v>196</v>
      </c>
      <c r="C78" s="441" t="str">
        <f ca="1">VLOOKUP( $B78, Aop!$A$2:$P$456, 5, 1)</f>
        <v>676</v>
      </c>
      <c r="D78" s="629" t="str">
        <f ca="1">VLOOKUP( $B78, Aop!$A$2:$P$456, 6, 1)</f>
        <v xml:space="preserve">    7. Viškovi</v>
      </c>
      <c r="E78" s="630"/>
      <c r="F78" s="630"/>
      <c r="G78" s="630"/>
      <c r="H78" s="631"/>
      <c r="I78" s="123">
        <f ca="1">VLOOKUP( $B78, Aop!$A$2:$P$456, 4, 1)</f>
        <v>258</v>
      </c>
      <c r="J78" s="445"/>
      <c r="K78" s="445"/>
      <c r="L78" s="446"/>
      <c r="N78" s="44"/>
      <c r="P78" s="182" t="s">
        <v>2435</v>
      </c>
    </row>
    <row r="79" spans="2:16" ht="13.5" customHeight="1">
      <c r="B79" s="15">
        <v>197</v>
      </c>
      <c r="C79" s="442" t="str">
        <f ca="1">VLOOKUP( $B79, Aop!$A$2:$P$456, 5, 1)</f>
        <v>677, 679</v>
      </c>
      <c r="D79" s="632" t="str">
        <f ca="1">VLOOKUP( $B79, Aop!$A$2:$P$456, 6, 1)</f>
        <v xml:space="preserve">    8. Ostali prihodi i dobici </v>
      </c>
      <c r="E79" s="633"/>
      <c r="F79" s="633"/>
      <c r="G79" s="633"/>
      <c r="H79" s="634"/>
      <c r="I79" s="122">
        <f ca="1">VLOOKUP( $B79, Aop!$A$2:$P$456, 4, 1)</f>
        <v>259</v>
      </c>
      <c r="J79" s="443"/>
      <c r="K79" s="443">
        <v>503</v>
      </c>
      <c r="L79" s="444"/>
      <c r="N79" s="44"/>
      <c r="P79" s="182" t="s">
        <v>2435</v>
      </c>
    </row>
    <row r="80" spans="2:16" ht="13.5" customHeight="1">
      <c r="B80" s="15">
        <v>198</v>
      </c>
      <c r="C80" s="441" t="str">
        <f ca="1">VLOOKUP( $B80, Aop!$A$2:$P$456, 5, 1)</f>
        <v>678, 577</v>
      </c>
      <c r="D80" s="629" t="str">
        <f ca="1">VLOOKUP( $B80, Aop!$A$2:$P$456, 6, 1)</f>
        <v xml:space="preserve">    9.  Neto dobici od derivatnih finansijskih instrumenata </v>
      </c>
      <c r="E80" s="630"/>
      <c r="F80" s="630"/>
      <c r="G80" s="630"/>
      <c r="H80" s="631"/>
      <c r="I80" s="123">
        <f ca="1">VLOOKUP( $B80, Aop!$A$2:$P$456, 4, 1)</f>
        <v>260</v>
      </c>
      <c r="J80" s="445"/>
      <c r="K80" s="445"/>
      <c r="L80" s="446"/>
      <c r="N80" s="44"/>
      <c r="P80" s="181"/>
    </row>
    <row r="81" spans="2:16" ht="15.75" customHeight="1">
      <c r="B81" s="15">
        <v>199</v>
      </c>
      <c r="C81" s="442" t="str">
        <f ca="1">VLOOKUP( $B81, Aop!$A$2:$P$456, 5, 1)</f>
        <v>57</v>
      </c>
      <c r="D81" s="584" t="str">
        <f ca="1">VLOOKUP( $B81, Aop!$A$2:$P$456, 6, 1)</f>
        <v xml:space="preserve">  II  OSTALI RASHODI I GUBICI (262 do 270)</v>
      </c>
      <c r="E81" s="585"/>
      <c r="F81" s="585"/>
      <c r="G81" s="585"/>
      <c r="H81" s="586"/>
      <c r="I81" s="168">
        <f ca="1">VLOOKUP( $B81, Aop!$A$2:$P$456, 4, 1)</f>
        <v>261</v>
      </c>
      <c r="J81" s="443"/>
      <c r="K81" s="32">
        <f>SUBTOTAL( 9, K82:K90)</f>
        <v>185069</v>
      </c>
      <c r="L81" s="65">
        <f>SUBTOTAL( 9, L82:L90)</f>
        <v>19911</v>
      </c>
      <c r="N81" s="44"/>
      <c r="P81" s="181"/>
    </row>
    <row r="82" spans="2:16" ht="22.5" customHeight="1">
      <c r="B82" s="15">
        <v>200</v>
      </c>
      <c r="C82" s="441" t="str">
        <f ca="1">VLOOKUP( $B82, Aop!$A$2:$P$456, 5, 1)</f>
        <v>570, 670 neto prikaz</v>
      </c>
      <c r="D82" s="629" t="str">
        <f ca="1">VLOOKUP( $B82, Aop!$A$2:$P$456, 6, 1)</f>
        <v xml:space="preserve">    1. Neto gubici po osnovu otuđenja nematerijalnih sredstava, nekretnina, postrojenja i opreme</v>
      </c>
      <c r="E82" s="630"/>
      <c r="F82" s="630"/>
      <c r="G82" s="630"/>
      <c r="H82" s="631"/>
      <c r="I82" s="123">
        <f ca="1">VLOOKUP( $B82, Aop!$A$2:$P$456, 4, 1)</f>
        <v>262</v>
      </c>
      <c r="J82" s="445"/>
      <c r="K82" s="445"/>
      <c r="L82" s="446"/>
      <c r="N82" s="44"/>
      <c r="P82" s="181"/>
    </row>
    <row r="83" spans="2:16" ht="22.5" customHeight="1">
      <c r="B83" s="15">
        <v>201</v>
      </c>
      <c r="C83" s="442" t="str">
        <f ca="1">VLOOKUP( $B83, Aop!$A$2:$P$456, 5, 1)</f>
        <v>571, 671 neto prikaz</v>
      </c>
      <c r="D83" s="632" t="str">
        <f ca="1">VLOOKUP( $B83, Aop!$A$2:$P$456, 6, 1)</f>
        <v xml:space="preserve">    2. Neto gubici po osnovu otuđenja investicionih nekretnina</v>
      </c>
      <c r="E83" s="633"/>
      <c r="F83" s="633"/>
      <c r="G83" s="633"/>
      <c r="H83" s="634"/>
      <c r="I83" s="122">
        <f ca="1">VLOOKUP( $B83, Aop!$A$2:$P$456, 4, 1)</f>
        <v>263</v>
      </c>
      <c r="J83" s="443"/>
      <c r="K83" s="443"/>
      <c r="L83" s="444"/>
      <c r="N83" s="44"/>
      <c r="P83" s="181"/>
    </row>
    <row r="84" spans="2:16" ht="22.5" customHeight="1">
      <c r="B84" s="15">
        <v>202</v>
      </c>
      <c r="C84" s="441" t="str">
        <f ca="1">VLOOKUP( $B84, Aop!$A$2:$P$456, 5, 1)</f>
        <v>572, 672 neto prikaz</v>
      </c>
      <c r="D84" s="629" t="str">
        <f ca="1">VLOOKUP( $B84, Aop!$A$2:$P$456, 6, 1)</f>
        <v xml:space="preserve">    3. Neto gubici po osnovu otuđenja bioloških sredstava</v>
      </c>
      <c r="E84" s="630"/>
      <c r="F84" s="630"/>
      <c r="G84" s="630"/>
      <c r="H84" s="631"/>
      <c r="I84" s="123">
        <f ca="1">VLOOKUP( $B84, Aop!$A$2:$P$456, 4, 1)</f>
        <v>264</v>
      </c>
      <c r="J84" s="445"/>
      <c r="K84" s="445"/>
      <c r="L84" s="446"/>
      <c r="N84" s="44"/>
      <c r="P84" s="181"/>
    </row>
    <row r="85" spans="2:16" ht="22.5" customHeight="1">
      <c r="B85" s="15">
        <v>203</v>
      </c>
      <c r="C85" s="442" t="str">
        <f ca="1">VLOOKUP( $B85, Aop!$A$2:$P$456, 5, 1)</f>
        <v>573, 673, neto prikaz</v>
      </c>
      <c r="D85" s="632" t="str">
        <f ca="1">VLOOKUP( $B85, Aop!$A$2:$P$456, 6, 1)</f>
        <v xml:space="preserve">    4. Neto gubici po osnovu otuđenja stalnih sredstava namijenjenih prodaji i sredstava poslovanja koje se obustavlja</v>
      </c>
      <c r="E85" s="633"/>
      <c r="F85" s="633"/>
      <c r="G85" s="633"/>
      <c r="H85" s="634"/>
      <c r="I85" s="122">
        <f ca="1">VLOOKUP( $B85, Aop!$A$2:$P$456, 4, 1)</f>
        <v>265</v>
      </c>
      <c r="J85" s="443"/>
      <c r="K85" s="443"/>
      <c r="L85" s="444"/>
      <c r="N85" s="44"/>
      <c r="P85" s="181"/>
    </row>
    <row r="86" spans="2:16" ht="22.5" customHeight="1">
      <c r="B86" s="15">
        <v>204</v>
      </c>
      <c r="C86" s="441" t="str">
        <f ca="1">VLOOKUP( $B86, Aop!$A$2:$P$456, 5, 1)</f>
        <v>574, 674 neto prikaz</v>
      </c>
      <c r="D86" s="629" t="str">
        <f ca="1">VLOOKUP( $B86, Aop!$A$2:$P$456, 6, 1)</f>
        <v xml:space="preserve">    5. Neto gubici od otuđenja finansijskih sredstava i ulaganja u povezana lica</v>
      </c>
      <c r="E86" s="630"/>
      <c r="F86" s="630"/>
      <c r="G86" s="630"/>
      <c r="H86" s="631"/>
      <c r="I86" s="123">
        <f ca="1">VLOOKUP( $B86, Aop!$A$2:$P$456, 4, 1)</f>
        <v>266</v>
      </c>
      <c r="J86" s="445"/>
      <c r="K86" s="445"/>
      <c r="L86" s="446"/>
      <c r="N86" s="44"/>
      <c r="P86" s="181"/>
    </row>
    <row r="87" spans="2:16" ht="22.5" customHeight="1">
      <c r="B87" s="15">
        <v>205</v>
      </c>
      <c r="C87" s="442" t="str">
        <f ca="1">VLOOKUP( $B87, Aop!$A$2:$P$456, 5, 1)</f>
        <v xml:space="preserve">575, 675 neto prikaz </v>
      </c>
      <c r="D87" s="632" t="str">
        <f ca="1">VLOOKUP( $B87, Aop!$A$2:$P$456, 6, 1)</f>
        <v xml:space="preserve">    6. Neto gubici po osnovu prodaje materijala</v>
      </c>
      <c r="E87" s="633"/>
      <c r="F87" s="633"/>
      <c r="G87" s="633"/>
      <c r="H87" s="634"/>
      <c r="I87" s="122">
        <f ca="1">VLOOKUP( $B87, Aop!$A$2:$P$456, 4, 1)</f>
        <v>267</v>
      </c>
      <c r="J87" s="443"/>
      <c r="K87" s="443"/>
      <c r="L87" s="444"/>
      <c r="N87" s="44"/>
      <c r="P87" s="181"/>
    </row>
    <row r="88" spans="2:16" ht="22.5" customHeight="1">
      <c r="B88" s="15">
        <v>206</v>
      </c>
      <c r="C88" s="441" t="str">
        <f ca="1">VLOOKUP( $B88, Aop!$A$2:$P$456, 5, 1)</f>
        <v>576</v>
      </c>
      <c r="D88" s="629" t="str">
        <f ca="1">VLOOKUP( $B88, Aop!$A$2:$P$456, 6, 1)</f>
        <v xml:space="preserve">    7.  Manjkovi</v>
      </c>
      <c r="E88" s="630"/>
      <c r="F88" s="630"/>
      <c r="G88" s="630"/>
      <c r="H88" s="631"/>
      <c r="I88" s="123">
        <f ca="1">VLOOKUP( $B88, Aop!$A$2:$P$456, 4, 1)</f>
        <v>268</v>
      </c>
      <c r="J88" s="445"/>
      <c r="K88" s="445"/>
      <c r="L88" s="446"/>
      <c r="N88" s="44"/>
      <c r="P88" s="182" t="s">
        <v>2435</v>
      </c>
    </row>
    <row r="89" spans="2:16" ht="22.5" customHeight="1">
      <c r="B89" s="15">
        <v>207</v>
      </c>
      <c r="C89" s="442" t="str">
        <f ca="1">VLOOKUP( $B89, Aop!$A$2:$P$456, 5, 1)</f>
        <v>577, 678 neto prikaz</v>
      </c>
      <c r="D89" s="632" t="str">
        <f ca="1">VLOOKUP( $B89, Aop!$A$2:$P$456, 6, 1)</f>
        <v xml:space="preserve">    8. Neto gubici od derivatnih finansijskih instrumenata</v>
      </c>
      <c r="E89" s="633"/>
      <c r="F89" s="633"/>
      <c r="G89" s="633"/>
      <c r="H89" s="634"/>
      <c r="I89" s="122">
        <f ca="1">VLOOKUP( $B89, Aop!$A$2:$P$456, 4, 1)</f>
        <v>269</v>
      </c>
      <c r="J89" s="443"/>
      <c r="K89" s="443"/>
      <c r="L89" s="444"/>
      <c r="N89" s="44"/>
      <c r="P89" s="181"/>
    </row>
    <row r="90" spans="2:16" ht="14.25" customHeight="1">
      <c r="B90" s="15">
        <v>208</v>
      </c>
      <c r="C90" s="441" t="str">
        <f ca="1">VLOOKUP( $B90, Aop!$A$2:$P$456, 5, 1)</f>
        <v>578, 579</v>
      </c>
      <c r="D90" s="629" t="str">
        <f ca="1">VLOOKUP( $B90, Aop!$A$2:$P$456, 6, 1)</f>
        <v xml:space="preserve">    9. Ostali rashodi i gubici</v>
      </c>
      <c r="E90" s="630"/>
      <c r="F90" s="630"/>
      <c r="G90" s="630"/>
      <c r="H90" s="631"/>
      <c r="I90" s="123">
        <f ca="1">VLOOKUP( $B90, Aop!$A$2:$P$456, 4, 1)</f>
        <v>270</v>
      </c>
      <c r="J90" s="445"/>
      <c r="K90" s="445">
        <v>185069</v>
      </c>
      <c r="L90" s="446">
        <v>19911</v>
      </c>
      <c r="N90" s="44"/>
      <c r="P90" s="181"/>
    </row>
    <row r="91" spans="2:16" ht="12.75" customHeight="1">
      <c r="B91" s="15">
        <v>209</v>
      </c>
      <c r="C91" s="355">
        <f ca="1">VLOOKUP( $B91, Aop!$A$2:$P$456, 5, 1)</f>
        <v>0</v>
      </c>
      <c r="D91" s="584" t="str">
        <f ca="1">VLOOKUP( $B91, Aop!$A$2:$P$456, 6, 1)</f>
        <v xml:space="preserve">  Ž. DOBITAK PO OSNOVU OSTALIH PRIHODA I RASHODA (251 – 261)</v>
      </c>
      <c r="E91" s="585"/>
      <c r="F91" s="585"/>
      <c r="G91" s="585"/>
      <c r="H91" s="586"/>
      <c r="I91" s="168">
        <f ca="1">VLOOKUP( $B91, Aop!$A$2:$P$456, 4, 1)</f>
        <v>271</v>
      </c>
      <c r="J91" s="443"/>
      <c r="K91" s="67">
        <f>IF( SUBTOTAL( 9, K71:K80) - SUBTOTAL( 9, K81:K90) &lt;= 0, 0, ABS( SUBTOTAL( 9, K71:K80) - SUBTOTAL( 9, K81:K90)) )</f>
        <v>0</v>
      </c>
      <c r="L91" s="469">
        <f>IF( SUBTOTAL( 9, L71:L80) - SUBTOTAL( 9, L81:L90) &lt;= 0, 0, ABS( SUBTOTAL( 9, L71:L80) - SUBTOTAL( 9, L81:L90)) )</f>
        <v>0</v>
      </c>
      <c r="N91" s="44"/>
      <c r="P91" s="181"/>
    </row>
    <row r="92" spans="2:16">
      <c r="B92" s="15">
        <v>210</v>
      </c>
      <c r="C92" s="451">
        <f ca="1">VLOOKUP( $B92, Aop!$A$2:$P$456, 5, 1)</f>
        <v>0</v>
      </c>
      <c r="D92" s="574" t="str">
        <f ca="1">VLOOKUP( $B92, Aop!$A$2:$P$456, 6, 1)</f>
        <v xml:space="preserve">  Z. GUBITAK PO OSNOVU OSTALIH PRIHODA I RASHODA (261 – 251)</v>
      </c>
      <c r="E92" s="575"/>
      <c r="F92" s="575"/>
      <c r="G92" s="575"/>
      <c r="H92" s="576"/>
      <c r="I92" s="169">
        <f ca="1">VLOOKUP( $B92, Aop!$A$2:$P$456, 4, 1)</f>
        <v>272</v>
      </c>
      <c r="J92" s="445"/>
      <c r="K92" s="31">
        <f>IF( SUBTOTAL( 9, K71:K80) - SUBTOTAL( 9, K81:K90) &gt;= 0, 0, ABS( SUBTOTAL( 9, K71:K80) - SUBTOTAL( 9, K81:K90)) )</f>
        <v>184566</v>
      </c>
      <c r="L92" s="470">
        <f>IF( SUBTOTAL( 9, L71:L80) - SUBTOTAL( 9, L81:L90) &gt;= 0, 0, ABS( SUBTOTAL( 9, L71:L80) - SUBTOTAL( 9, L81:L90)) )</f>
        <v>19911</v>
      </c>
      <c r="N92" s="44"/>
      <c r="P92" s="181"/>
    </row>
    <row r="93" spans="2:16" ht="23.25" customHeight="1">
      <c r="B93" s="15">
        <v>211</v>
      </c>
      <c r="C93" s="355" t="str">
        <f ca="1">VLOOKUP( $B93, Aop!$A$2:$P$456, 5, 1)</f>
        <v>68</v>
      </c>
      <c r="D93" s="584" t="str">
        <f ca="1">VLOOKUP( $B93, Aop!$A$2:$P$456, 6, 1)</f>
        <v xml:space="preserve">  I. PRIHODI I RASHODI OD USKLAĐIVANJA VRIJEDNOSTI IMOVINE 
I   PRIHODI OD USKLAĐIVANJA VRIJEDNOSTI IMOVINE (274 + 281)</v>
      </c>
      <c r="E93" s="585"/>
      <c r="F93" s="585"/>
      <c r="G93" s="585"/>
      <c r="H93" s="586"/>
      <c r="I93" s="168">
        <f ca="1">VLOOKUP( $B93, Aop!$A$2:$P$456, 4, 1)</f>
        <v>273</v>
      </c>
      <c r="J93" s="443"/>
      <c r="K93" s="67">
        <f>SUBTOTAL( 9, K94:K105)</f>
        <v>11450</v>
      </c>
      <c r="L93" s="469">
        <f>SUBTOTAL( 9, L94:L105)</f>
        <v>0</v>
      </c>
      <c r="N93" s="44"/>
      <c r="P93" s="181"/>
    </row>
    <row r="94" spans="2:16" ht="13.5" customHeight="1">
      <c r="B94" s="15">
        <v>212</v>
      </c>
      <c r="C94" s="441" t="str">
        <f ca="1">VLOOKUP( $B94, Aop!$A$2:$P$456, 5, 1)</f>
        <v>dio 68</v>
      </c>
      <c r="D94" s="629" t="str">
        <f ca="1">VLOOKUP( $B94, Aop!$A$2:$P$456, 6, 1)</f>
        <v xml:space="preserve">    1. Neto dobici od usklađivanja imovine (osim finansijske)  (275 do 280)</v>
      </c>
      <c r="E94" s="630"/>
      <c r="F94" s="630"/>
      <c r="G94" s="630"/>
      <c r="H94" s="631"/>
      <c r="I94" s="123">
        <f ca="1">VLOOKUP( $B94, Aop!$A$2:$P$456, 4, 1)</f>
        <v>274</v>
      </c>
      <c r="J94" s="445"/>
      <c r="K94" s="152">
        <f>SUBTOTAL( 9, K95:K100)</f>
        <v>11450</v>
      </c>
      <c r="L94" s="483">
        <f>SUBTOTAL( 9, L95:L100)</f>
        <v>0</v>
      </c>
      <c r="N94" s="44"/>
      <c r="P94" s="181"/>
    </row>
    <row r="95" spans="2:16" s="425" customFormat="1" ht="22.5" customHeight="1">
      <c r="B95" s="424">
        <v>213</v>
      </c>
      <c r="C95" s="442" t="str">
        <f ca="1">VLOOKUP( $B95, Aop!$A$2:$P$456, 5, 1)</f>
        <v>680, 580 neto prikaz</v>
      </c>
      <c r="D95" s="632" t="str">
        <f ca="1">VLOOKUP( $B95, Aop!$A$2:$P$456, 6, 1)</f>
        <v xml:space="preserve">      1.1. Neto dobici od umanjenja ranije priznatih gubitaka usljed obezvređenja nematerijalnih sredstava</v>
      </c>
      <c r="E95" s="633"/>
      <c r="F95" s="633"/>
      <c r="G95" s="633"/>
      <c r="H95" s="634"/>
      <c r="I95" s="122">
        <f ca="1">VLOOKUP( $B95, Aop!$A$2:$P$456, 4, 1)</f>
        <v>275</v>
      </c>
      <c r="J95" s="443"/>
      <c r="K95" s="443"/>
      <c r="L95" s="444"/>
      <c r="N95" s="426"/>
      <c r="P95" s="427"/>
    </row>
    <row r="96" spans="2:16" s="425" customFormat="1" ht="22.5" customHeight="1">
      <c r="B96" s="424">
        <v>214</v>
      </c>
      <c r="C96" s="441" t="str">
        <f ca="1">VLOOKUP( $B96, Aop!$A$2:$P$456, 5, 1)</f>
        <v>681, 581 neto prikaz</v>
      </c>
      <c r="D96" s="629" t="str">
        <f ca="1">VLOOKUP( $B96, Aop!$A$2:$P$456, 6, 1)</f>
        <v xml:space="preserve">      1.2. Neto dobici od umanjenja ranije priznatih gubitaka usljed obezvređenja nekretnina, postrojenja i opreme</v>
      </c>
      <c r="E96" s="630"/>
      <c r="F96" s="630"/>
      <c r="G96" s="630"/>
      <c r="H96" s="631"/>
      <c r="I96" s="123">
        <f ca="1">VLOOKUP( $B96, Aop!$A$2:$P$456, 4, 1)</f>
        <v>276</v>
      </c>
      <c r="J96" s="445"/>
      <c r="K96" s="445">
        <v>11450</v>
      </c>
      <c r="L96" s="446"/>
      <c r="N96" s="426"/>
      <c r="P96" s="427"/>
    </row>
    <row r="97" spans="2:16" s="425" customFormat="1" ht="22.5" customHeight="1">
      <c r="B97" s="424">
        <v>215</v>
      </c>
      <c r="C97" s="442" t="str">
        <f ca="1">VLOOKUP( $B97, Aop!$A$2:$P$456, 5, 1)</f>
        <v>682, 582 neto prikaz</v>
      </c>
      <c r="D97" s="632" t="str">
        <f ca="1">VLOOKUP( $B97, Aop!$A$2:$P$456, 6, 1)</f>
        <v xml:space="preserve">      1.3.  Neto dobici od umanjenja ranije priznatih gubitaka usljed obezvređenja investicionih nekretnina koje se vrednuju po nabavnoj vrijednosti</v>
      </c>
      <c r="E97" s="633"/>
      <c r="F97" s="633"/>
      <c r="G97" s="633"/>
      <c r="H97" s="634"/>
      <c r="I97" s="122">
        <f ca="1">VLOOKUP( $B97, Aop!$A$2:$P$456, 4, 1)</f>
        <v>277</v>
      </c>
      <c r="J97" s="443"/>
      <c r="K97" s="443"/>
      <c r="L97" s="444"/>
      <c r="N97" s="426"/>
      <c r="P97" s="427"/>
    </row>
    <row r="98" spans="2:16" ht="22.5" customHeight="1">
      <c r="B98" s="15">
        <v>216</v>
      </c>
      <c r="C98" s="441" t="str">
        <f ca="1">VLOOKUP( $B98, Aop!$A$2:$P$456, 5, 1)</f>
        <v>683, 583 neto prikaz</v>
      </c>
      <c r="D98" s="629" t="str">
        <f ca="1">VLOOKUP( $B98, Aop!$A$2:$P$456, 6, 1)</f>
        <v xml:space="preserve">      1.4.  Neto dobici od umanjenja ranije priznatih gubitaka usljed obezvređenja bioloških sredstva koja se vrednuju po nabavnoj vrijednosti</v>
      </c>
      <c r="E98" s="630"/>
      <c r="F98" s="630"/>
      <c r="G98" s="630"/>
      <c r="H98" s="631"/>
      <c r="I98" s="123">
        <f ca="1">VLOOKUP( $B98, Aop!$A$2:$P$456, 4, 1)</f>
        <v>278</v>
      </c>
      <c r="J98" s="445"/>
      <c r="K98" s="445"/>
      <c r="L98" s="446"/>
      <c r="N98" s="44"/>
      <c r="P98" s="181"/>
    </row>
    <row r="99" spans="2:16" ht="22.5" customHeight="1">
      <c r="B99" s="15">
        <v>217</v>
      </c>
      <c r="C99" s="442" t="str">
        <f ca="1">VLOOKUP( $B99, Aop!$A$2:$P$456, 5, 1)</f>
        <v>685, 585 neto prikaz</v>
      </c>
      <c r="D99" s="632" t="str">
        <f ca="1">VLOOKUP( $B99, Aop!$A$2:$P$456, 6, 1)</f>
        <v xml:space="preserve">      1.5.  Neto dobici od usklađivanja vrijednosti zaliha materijala i robe </v>
      </c>
      <c r="E99" s="633"/>
      <c r="F99" s="633"/>
      <c r="G99" s="633"/>
      <c r="H99" s="634"/>
      <c r="I99" s="122">
        <f ca="1">VLOOKUP( $B99, Aop!$A$2:$P$456, 4, 1)</f>
        <v>279</v>
      </c>
      <c r="J99" s="443"/>
      <c r="K99" s="443"/>
      <c r="L99" s="444"/>
      <c r="N99" s="44"/>
      <c r="P99" s="182" t="s">
        <v>2435</v>
      </c>
    </row>
    <row r="100" spans="2:16" ht="22.5" customHeight="1">
      <c r="B100" s="15">
        <v>218</v>
      </c>
      <c r="C100" s="441" t="str">
        <f ca="1">VLOOKUP( $B100, Aop!$A$2:$P$456, 5, 1)</f>
        <v>688, dio 689, 588, dio 589neto prikaz</v>
      </c>
      <c r="D100" s="629" t="str">
        <f ca="1">VLOOKUP( $B100, Aop!$A$2:$P$456, 6, 1)</f>
        <v xml:space="preserve">      1.6.  Neto dobici od usklađivanja vrijednost stalnih sredstava namijenjenih prodaji, sredstava poslovanja koje se obustavlja i ostalih nefinansijskih sredstava</v>
      </c>
      <c r="E100" s="630"/>
      <c r="F100" s="630"/>
      <c r="G100" s="630"/>
      <c r="H100" s="631"/>
      <c r="I100" s="123">
        <f ca="1">VLOOKUP( $B100, Aop!$A$2:$P$456, 4, 1)</f>
        <v>280</v>
      </c>
      <c r="J100" s="445"/>
      <c r="K100" s="445"/>
      <c r="L100" s="446"/>
      <c r="N100" s="44"/>
      <c r="P100" s="181"/>
    </row>
    <row r="101" spans="2:16" ht="13.5" customHeight="1">
      <c r="B101" s="15">
        <v>219</v>
      </c>
      <c r="C101" s="442" t="str">
        <f ca="1">VLOOKUP( $B101, Aop!$A$2:$P$456, 5, 1)</f>
        <v>dio 68</v>
      </c>
      <c r="D101" s="632" t="str">
        <f ca="1">VLOOKUP( $B101, Aop!$A$2:$P$456, 6, 1)</f>
        <v xml:space="preserve">    2. Neto dobici od usklađivanja vrijednosti finansijskih sredstava (282 do 285)</v>
      </c>
      <c r="E101" s="633"/>
      <c r="F101" s="633"/>
      <c r="G101" s="633"/>
      <c r="H101" s="634"/>
      <c r="I101" s="122">
        <f ca="1">VLOOKUP( $B101, Aop!$A$2:$P$456, 4, 1)</f>
        <v>281</v>
      </c>
      <c r="J101" s="443"/>
      <c r="K101" s="449">
        <f>SUBTOTAL( 9, K102:K105)</f>
        <v>0</v>
      </c>
      <c r="L101" s="484">
        <f>SUBTOTAL( 9, L102:L105)</f>
        <v>0</v>
      </c>
      <c r="N101" s="44"/>
      <c r="P101" s="181"/>
    </row>
    <row r="102" spans="2:16" ht="22.5" customHeight="1">
      <c r="B102" s="15">
        <v>220</v>
      </c>
      <c r="C102" s="441" t="str">
        <f ca="1">VLOOKUP( $B102, Aop!$A$2:$P$456, 5, 1)</f>
        <v>684, 584 neto prikaz</v>
      </c>
      <c r="D102" s="629" t="str">
        <f ca="1">VLOOKUP( $B102, Aop!$A$2:$P$456, 6, 1)</f>
        <v xml:space="preserve">      2.1  Neto dobici od usklađivanja vrijednosti dugoročnih finansijskih sredstava </v>
      </c>
      <c r="E102" s="630"/>
      <c r="F102" s="630"/>
      <c r="G102" s="630"/>
      <c r="H102" s="631"/>
      <c r="I102" s="123">
        <f ca="1">VLOOKUP( $B102, Aop!$A$2:$P$456, 4, 1)</f>
        <v>282</v>
      </c>
      <c r="J102" s="445"/>
      <c r="K102" s="445"/>
      <c r="L102" s="446"/>
      <c r="N102" s="44"/>
      <c r="P102" s="181"/>
    </row>
    <row r="103" spans="2:16" ht="22.5" customHeight="1">
      <c r="B103" s="15">
        <v>221</v>
      </c>
      <c r="C103" s="442" t="str">
        <f ca="1">VLOOKUP( $B103, Aop!$A$2:$P$456, 5, 1)</f>
        <v>686, 585 neto prikaz</v>
      </c>
      <c r="D103" s="632" t="str">
        <f ca="1">VLOOKUP( $B103, Aop!$A$2:$P$456, 6, 1)</f>
        <v xml:space="preserve">      2.2  Neto dobici od usklađivanja vrijednosti kratkoročnih finansijskih sredstava (osim potraživanja od kupaca)</v>
      </c>
      <c r="E103" s="633"/>
      <c r="F103" s="633"/>
      <c r="G103" s="633"/>
      <c r="H103" s="634"/>
      <c r="I103" s="122">
        <f ca="1">VLOOKUP( $B103, Aop!$A$2:$P$456, 4, 1)</f>
        <v>283</v>
      </c>
      <c r="J103" s="443"/>
      <c r="K103" s="443"/>
      <c r="L103" s="444"/>
      <c r="N103" s="44"/>
      <c r="P103" s="181"/>
    </row>
    <row r="104" spans="2:16" ht="22.5" customHeight="1">
      <c r="B104" s="15">
        <v>222</v>
      </c>
      <c r="C104" s="441" t="str">
        <f ca="1">VLOOKUP( $B104, Aop!$A$2:$P$456, 5, 1)</f>
        <v>687, 587 neto prikaz</v>
      </c>
      <c r="D104" s="629" t="str">
        <f ca="1">VLOOKUP( $B104, Aop!$A$2:$P$456, 6, 1)</f>
        <v xml:space="preserve">      2.3  Neto dobici od umanjenja ranije priznatih kreditnih gubitaka usljed obezvređenja potraživanja od kupaca </v>
      </c>
      <c r="E104" s="630"/>
      <c r="F104" s="630"/>
      <c r="G104" s="630"/>
      <c r="H104" s="631"/>
      <c r="I104" s="123">
        <f ca="1">VLOOKUP( $B104, Aop!$A$2:$P$456, 4, 1)</f>
        <v>284</v>
      </c>
      <c r="J104" s="445"/>
      <c r="K104" s="445"/>
      <c r="L104" s="446"/>
      <c r="N104" s="44"/>
      <c r="P104" s="181"/>
    </row>
    <row r="105" spans="2:16" ht="21" customHeight="1">
      <c r="B105" s="15">
        <v>223</v>
      </c>
      <c r="C105" s="442" t="str">
        <f ca="1">VLOOKUP( $B105, Aop!$A$2:$P$456, 5, 1)</f>
        <v>dio 689, dio 589neto prikaz</v>
      </c>
      <c r="D105" s="632" t="str">
        <f ca="1">VLOOKUP( $B105, Aop!$A$2:$P$456, 6, 1)</f>
        <v xml:space="preserve">      2.4  Neto dobici od usklađivanja vrijednosti ostalih finansijskih sredstava</v>
      </c>
      <c r="E105" s="633"/>
      <c r="F105" s="633"/>
      <c r="G105" s="633"/>
      <c r="H105" s="634"/>
      <c r="I105" s="122">
        <f ca="1">VLOOKUP( $B105, Aop!$A$2:$P$456, 4, 1)</f>
        <v>285</v>
      </c>
      <c r="J105" s="443"/>
      <c r="K105" s="443"/>
      <c r="L105" s="444"/>
      <c r="N105" s="44"/>
      <c r="P105" s="181"/>
    </row>
    <row r="106" spans="2:16" ht="15" customHeight="1">
      <c r="B106" s="15">
        <v>224</v>
      </c>
      <c r="C106" s="451" t="str">
        <f ca="1">VLOOKUP( $B106, Aop!$A$2:$P$456, 5, 1)</f>
        <v>58</v>
      </c>
      <c r="D106" s="574" t="str">
        <f ca="1">VLOOKUP( $B106, Aop!$A$2:$P$456, 6, 1)</f>
        <v xml:space="preserve">  II  RASHODI OD USKLAĐIVANJA VRIJEDNOSTI IMOVINE (287 + 294)</v>
      </c>
      <c r="E106" s="575"/>
      <c r="F106" s="575"/>
      <c r="G106" s="575"/>
      <c r="H106" s="576"/>
      <c r="I106" s="169">
        <f ca="1">VLOOKUP( $B106, Aop!$A$2:$P$456, 4, 1)</f>
        <v>286</v>
      </c>
      <c r="J106" s="445"/>
      <c r="K106" s="31">
        <f>SUBTOTAL( 9, K107:K118)</f>
        <v>0</v>
      </c>
      <c r="L106" s="62">
        <f>SUBTOTAL( 9, L107:L118)</f>
        <v>0</v>
      </c>
      <c r="N106" s="44"/>
      <c r="P106" s="181"/>
    </row>
    <row r="107" spans="2:16" ht="13.5" customHeight="1">
      <c r="B107" s="15">
        <v>225</v>
      </c>
      <c r="C107" s="442">
        <f ca="1">VLOOKUP( $B107, Aop!$A$2:$P$456, 5, 1)</f>
        <v>0</v>
      </c>
      <c r="D107" s="632" t="str">
        <f ca="1">VLOOKUP( $B107, Aop!$A$2:$P$456, 6, 1)</f>
        <v xml:space="preserve">    1.  Rashodi od usklađivanja vrijednosti imovine (osim finansijske) (288 do 293)</v>
      </c>
      <c r="E107" s="633"/>
      <c r="F107" s="633"/>
      <c r="G107" s="633"/>
      <c r="H107" s="634"/>
      <c r="I107" s="122">
        <f ca="1">VLOOKUP( $B107, Aop!$A$2:$P$456, 4, 1)</f>
        <v>287</v>
      </c>
      <c r="J107" s="443"/>
      <c r="K107" s="449">
        <f>SUBTOTAL( 9, K108:K113)</f>
        <v>0</v>
      </c>
      <c r="L107" s="450">
        <f>SUBTOTAL( 9, L108:L113)</f>
        <v>0</v>
      </c>
      <c r="N107" s="44"/>
      <c r="P107" s="181"/>
    </row>
    <row r="108" spans="2:16" ht="22.5" customHeight="1">
      <c r="B108" s="15">
        <v>226</v>
      </c>
      <c r="C108" s="441" t="str">
        <f ca="1">VLOOKUP( $B108, Aop!$A$2:$P$456, 5, 1)</f>
        <v>580, 680</v>
      </c>
      <c r="D108" s="629" t="str">
        <f ca="1">VLOOKUP( $B108, Aop!$A$2:$P$456, 6, 1)</f>
        <v xml:space="preserve">      1.1. Neto gubici po osnovu obezvređenja nematerijalnih sredstava</v>
      </c>
      <c r="E108" s="630"/>
      <c r="F108" s="630"/>
      <c r="G108" s="630"/>
      <c r="H108" s="631"/>
      <c r="I108" s="123">
        <f ca="1">VLOOKUP( $B108, Aop!$A$2:$P$456, 4, 1)</f>
        <v>288</v>
      </c>
      <c r="J108" s="445"/>
      <c r="K108" s="445"/>
      <c r="L108" s="446"/>
      <c r="N108" s="44"/>
      <c r="P108" s="181"/>
    </row>
    <row r="109" spans="2:16" ht="22.5" customHeight="1">
      <c r="B109" s="15">
        <v>227</v>
      </c>
      <c r="C109" s="442" t="str">
        <f ca="1">VLOOKUP( $B109, Aop!$A$2:$P$456, 5, 1)</f>
        <v>581, 681 neto prikaz</v>
      </c>
      <c r="D109" s="632" t="str">
        <f ca="1">VLOOKUP( $B109, Aop!$A$2:$P$456, 6, 1)</f>
        <v xml:space="preserve">      1.2. Neto gubici po osnovu obezvređenja nekretnina, postrojenja i opreme</v>
      </c>
      <c r="E109" s="633"/>
      <c r="F109" s="633"/>
      <c r="G109" s="633"/>
      <c r="H109" s="634"/>
      <c r="I109" s="122">
        <f ca="1">VLOOKUP( $B109, Aop!$A$2:$P$456, 4, 1)</f>
        <v>289</v>
      </c>
      <c r="J109" s="443"/>
      <c r="K109" s="443"/>
      <c r="L109" s="444"/>
      <c r="N109" s="44"/>
      <c r="P109" s="181"/>
    </row>
    <row r="110" spans="2:16" ht="22.5" customHeight="1">
      <c r="B110" s="15">
        <v>228</v>
      </c>
      <c r="C110" s="441" t="str">
        <f ca="1">VLOOKUP( $B110, Aop!$A$2:$P$456, 5, 1)</f>
        <v>582, 682</v>
      </c>
      <c r="D110" s="629" t="str">
        <f ca="1">VLOOKUP( $B110, Aop!$A$2:$P$456, 6, 1)</f>
        <v xml:space="preserve">      1.3. Neto gubici po osnovu obezvređenja investicionih nekretnina koje se vrednuju po nabavnoj vrijednosti</v>
      </c>
      <c r="E110" s="630"/>
      <c r="F110" s="630"/>
      <c r="G110" s="630"/>
      <c r="H110" s="631"/>
      <c r="I110" s="123">
        <f ca="1">VLOOKUP( $B110, Aop!$A$2:$P$456, 4, 1)</f>
        <v>290</v>
      </c>
      <c r="J110" s="445"/>
      <c r="K110" s="445"/>
      <c r="L110" s="446"/>
      <c r="N110" s="44"/>
      <c r="P110" s="181"/>
    </row>
    <row r="111" spans="2:16" ht="22.5" customHeight="1">
      <c r="B111" s="15">
        <v>229</v>
      </c>
      <c r="C111" s="442" t="str">
        <f ca="1">VLOOKUP( $B111, Aop!$A$2:$P$456, 5, 1)</f>
        <v>583, 683</v>
      </c>
      <c r="D111" s="632" t="str">
        <f ca="1">VLOOKUP( $B111, Aop!$A$2:$P$456, 6, 1)</f>
        <v xml:space="preserve">      1.4. Neto gubici po osnovu obezvređenja bioloških sredstva koje se vrednuju po nabavnoj vrijednosti</v>
      </c>
      <c r="E111" s="633"/>
      <c r="F111" s="633"/>
      <c r="G111" s="633"/>
      <c r="H111" s="634"/>
      <c r="I111" s="122">
        <f ca="1">VLOOKUP( $B111, Aop!$A$2:$P$456, 4, 1)</f>
        <v>291</v>
      </c>
      <c r="J111" s="443"/>
      <c r="K111" s="443"/>
      <c r="L111" s="444"/>
      <c r="N111" s="44"/>
      <c r="P111" s="181"/>
    </row>
    <row r="112" spans="2:16" ht="22.5" customHeight="1">
      <c r="B112" s="15">
        <v>230</v>
      </c>
      <c r="C112" s="441" t="str">
        <f ca="1">VLOOKUP( $B112, Aop!$A$2:$P$456, 5, 1)</f>
        <v>585, 685 neto prikaz</v>
      </c>
      <c r="D112" s="629" t="str">
        <f ca="1">VLOOKUP( $B112, Aop!$A$2:$P$456, 6, 1)</f>
        <v xml:space="preserve">      1.5. Neto gubici od usklađivanja vrijednosti zaliha materijala i robe </v>
      </c>
      <c r="E112" s="630"/>
      <c r="F112" s="630"/>
      <c r="G112" s="630"/>
      <c r="H112" s="631"/>
      <c r="I112" s="123">
        <f ca="1">VLOOKUP( $B112, Aop!$A$2:$P$456, 4, 1)</f>
        <v>292</v>
      </c>
      <c r="J112" s="445"/>
      <c r="K112" s="445"/>
      <c r="L112" s="446"/>
      <c r="N112" s="44"/>
      <c r="P112" s="181"/>
    </row>
    <row r="113" spans="2:16" ht="22.5" customHeight="1">
      <c r="B113" s="15">
        <v>231</v>
      </c>
      <c r="C113" s="442" t="str">
        <f ca="1">VLOOKUP( $B113, Aop!$A$2:$P$456, 5, 1)</f>
        <v>588, dio 589, 688, dio 689</v>
      </c>
      <c r="D113" s="632" t="str">
        <f ca="1">VLOOKUP( $B113, Aop!$A$2:$P$456, 6, 1)</f>
        <v xml:space="preserve">      1.6. Neto gubici od usklađivanja vrijednosti stalnih sredstava namijenjenih prodaji, sredstava poslovanja koje se obustavlja i ostalih nefinansijskih sredstava</v>
      </c>
      <c r="E113" s="633"/>
      <c r="F113" s="633"/>
      <c r="G113" s="633"/>
      <c r="H113" s="634"/>
      <c r="I113" s="122">
        <f ca="1">VLOOKUP( $B113, Aop!$A$2:$P$456, 4, 1)</f>
        <v>293</v>
      </c>
      <c r="J113" s="443"/>
      <c r="K113" s="443"/>
      <c r="L113" s="444"/>
      <c r="N113" s="44"/>
      <c r="P113" s="181"/>
    </row>
    <row r="114" spans="2:16" ht="22.5" customHeight="1">
      <c r="B114" s="15">
        <v>232</v>
      </c>
      <c r="C114" s="441">
        <f ca="1">VLOOKUP( $B114, Aop!$A$2:$P$456, 5, 1)</f>
        <v>0</v>
      </c>
      <c r="D114" s="629" t="str">
        <f ca="1">VLOOKUP( $B114, Aop!$A$2:$P$456, 6, 1)</f>
        <v xml:space="preserve">    2.  Gubici od usklađivanja vrijednosti finansijskih sredstava (295 do 298)</v>
      </c>
      <c r="E114" s="630"/>
      <c r="F114" s="630"/>
      <c r="G114" s="630"/>
      <c r="H114" s="631"/>
      <c r="I114" s="123">
        <f ca="1">VLOOKUP( $B114, Aop!$A$2:$P$456, 4, 1)</f>
        <v>294</v>
      </c>
      <c r="J114" s="445"/>
      <c r="K114" s="447">
        <f>SUBTOTAL( 9, K115:K118)</f>
        <v>0</v>
      </c>
      <c r="L114" s="448">
        <f>SUBTOTAL( 9, L115:L118)</f>
        <v>0</v>
      </c>
      <c r="N114" s="44"/>
      <c r="P114" s="181"/>
    </row>
    <row r="115" spans="2:16" ht="22.5" customHeight="1">
      <c r="B115" s="15">
        <v>233</v>
      </c>
      <c r="C115" s="442" t="str">
        <f ca="1">VLOOKUP( $B115, Aop!$A$2:$P$456, 5, 1)</f>
        <v>584, 684</v>
      </c>
      <c r="D115" s="632" t="str">
        <f ca="1">VLOOKUP( $B115, Aop!$A$2:$P$456, 6, 1)</f>
        <v xml:space="preserve">      2.1 Neto gubici od usklađivanja vrijednosti dugoročnih finansijskih sredstava</v>
      </c>
      <c r="E115" s="633"/>
      <c r="F115" s="633"/>
      <c r="G115" s="633"/>
      <c r="H115" s="634"/>
      <c r="I115" s="122">
        <f ca="1">VLOOKUP( $B115, Aop!$A$2:$P$456, 4, 1)</f>
        <v>295</v>
      </c>
      <c r="J115" s="443"/>
      <c r="K115" s="443"/>
      <c r="L115" s="444"/>
      <c r="N115" s="44"/>
      <c r="P115" s="181"/>
    </row>
    <row r="116" spans="2:16" ht="22.5" customHeight="1">
      <c r="B116" s="15">
        <v>234</v>
      </c>
      <c r="C116" s="441" t="str">
        <f ca="1">VLOOKUP( $B116, Aop!$A$2:$P$456, 5, 1)</f>
        <v>586, 686</v>
      </c>
      <c r="D116" s="629" t="str">
        <f ca="1">VLOOKUP( $B116, Aop!$A$2:$P$456, 6, 1)</f>
        <v xml:space="preserve">      2.2  Neto gubici od usklađivanja vrijednosti kratkoročnih finansijskih sredstava (osim potraživanja od kupaca)</v>
      </c>
      <c r="E116" s="630"/>
      <c r="F116" s="630"/>
      <c r="G116" s="630"/>
      <c r="H116" s="631"/>
      <c r="I116" s="123">
        <f ca="1">VLOOKUP( $B116, Aop!$A$2:$P$456, 4, 1)</f>
        <v>296</v>
      </c>
      <c r="J116" s="445"/>
      <c r="K116" s="445"/>
      <c r="L116" s="446"/>
      <c r="N116" s="44"/>
      <c r="P116" s="182" t="s">
        <v>2435</v>
      </c>
    </row>
    <row r="117" spans="2:16" ht="22.5" customHeight="1">
      <c r="B117" s="15">
        <v>235</v>
      </c>
      <c r="C117" s="442" t="str">
        <f ca="1">VLOOKUP( $B117, Aop!$A$2:$P$456, 5, 1)</f>
        <v>587, 687 neto prikaz</v>
      </c>
      <c r="D117" s="632" t="str">
        <f ca="1">VLOOKUP( $B117, Aop!$A$2:$P$456, 6, 1)</f>
        <v xml:space="preserve">      2.3 Neto gubici od usklađivanja vrijednosti potraživanja od kupaca</v>
      </c>
      <c r="E117" s="633"/>
      <c r="F117" s="633"/>
      <c r="G117" s="633"/>
      <c r="H117" s="634"/>
      <c r="I117" s="122">
        <f ca="1">VLOOKUP( $B117, Aop!$A$2:$P$456, 4, 1)</f>
        <v>297</v>
      </c>
      <c r="J117" s="443"/>
      <c r="K117" s="443"/>
      <c r="L117" s="444"/>
      <c r="N117" s="44"/>
      <c r="P117" s="182" t="s">
        <v>2435</v>
      </c>
    </row>
    <row r="118" spans="2:16" ht="22.5" customHeight="1">
      <c r="B118" s="15">
        <v>236</v>
      </c>
      <c r="C118" s="441" t="str">
        <f ca="1">VLOOKUP( $B118, Aop!$A$2:$P$456, 5, 1)</f>
        <v>dio 589, dio 689neto prikaz</v>
      </c>
      <c r="D118" s="629" t="str">
        <f ca="1">VLOOKUP( $B118, Aop!$A$2:$P$456, 6, 1)</f>
        <v xml:space="preserve">      2.4  Neto gubici od usklađivanja vrijednosti ostalih finansijskih sredstava</v>
      </c>
      <c r="E118" s="630"/>
      <c r="F118" s="630"/>
      <c r="G118" s="630"/>
      <c r="H118" s="631"/>
      <c r="I118" s="123">
        <f ca="1">VLOOKUP( $B118, Aop!$A$2:$P$456, 4, 1)</f>
        <v>298</v>
      </c>
      <c r="J118" s="445"/>
      <c r="K118" s="445"/>
      <c r="L118" s="446"/>
      <c r="N118" s="44"/>
      <c r="P118" s="181"/>
    </row>
    <row r="119" spans="2:16" ht="15" customHeight="1">
      <c r="B119" s="15">
        <v>237</v>
      </c>
      <c r="C119" s="452">
        <f ca="1">VLOOKUP( $B119, Aop!$A$2:$P$456, 5, 1)</f>
        <v>0</v>
      </c>
      <c r="D119" s="584" t="str">
        <f ca="1">VLOOKUP( $B119, Aop!$A$2:$P$456, 6, 1)</f>
        <v xml:space="preserve">  J. DOBITAK PO OSNOVU USKLAĐIVANJA VRIJEDNOSTI IMOVINE (273 – 286) </v>
      </c>
      <c r="E119" s="585"/>
      <c r="F119" s="585"/>
      <c r="G119" s="585"/>
      <c r="H119" s="586"/>
      <c r="I119" s="168">
        <f ca="1">VLOOKUP( $B119, Aop!$A$2:$P$456, 4, 1)</f>
        <v>299</v>
      </c>
      <c r="J119" s="443"/>
      <c r="K119" s="67">
        <f>IF( SUBTOTAL( 9, K94:K105) - SUBTOTAL( 9, K106:K118) &lt;= 0, 0, ABS( SUBTOTAL( 9, K94:K105) - SUBTOTAL( 9, K106:K118)) )</f>
        <v>11450</v>
      </c>
      <c r="L119" s="68">
        <f>IF( SUBTOTAL( 9, L94:L105) - SUBTOTAL( 9, L106:L118) &lt;= 0, 0, ABS( SUBTOTAL( 9, L94:L105) - SUBTOTAL( 9, L106:L118)) )</f>
        <v>0</v>
      </c>
      <c r="N119" s="44"/>
      <c r="P119" s="181"/>
    </row>
    <row r="120" spans="2:16" ht="15" customHeight="1">
      <c r="B120" s="15">
        <v>238</v>
      </c>
      <c r="C120" s="441">
        <f ca="1">VLOOKUP( $B120, Aop!$A$2:$P$456, 5, 1)</f>
        <v>0</v>
      </c>
      <c r="D120" s="574" t="str">
        <f ca="1">VLOOKUP( $B120, Aop!$A$2:$P$456, 6, 1)</f>
        <v xml:space="preserve">  K. GUBITAK PO OSNOVU USKLAĐIVANJA VRIJEDNOSTI IMOVINE (286 – 273)</v>
      </c>
      <c r="E120" s="575"/>
      <c r="F120" s="575"/>
      <c r="G120" s="575"/>
      <c r="H120" s="576"/>
      <c r="I120" s="169">
        <f ca="1">VLOOKUP( $B120, Aop!$A$2:$P$456, 4, 1)</f>
        <v>300</v>
      </c>
      <c r="J120" s="445"/>
      <c r="K120" s="31">
        <f>IF( SUBTOTAL( 9, K94:K105) - SUBTOTAL( 9, K106:K118) &gt;= 0, 0, ABS( SUBTOTAL( 9, K94:K105) - SUBTOTAL( 9, K106:K118)) )</f>
        <v>0</v>
      </c>
      <c r="L120" s="62">
        <f>IF( SUBTOTAL( 9, L94:L105) - SUBTOTAL( 9, L106:L118) &gt;= 0, 0, ABS( SUBTOTAL( 9, L94:L105) - SUBTOTAL( 9, L106:L118)) )</f>
        <v>0</v>
      </c>
      <c r="N120" s="44"/>
      <c r="P120" s="181"/>
    </row>
    <row r="121" spans="2:16" ht="22.5" customHeight="1">
      <c r="B121" s="15">
        <v>239</v>
      </c>
      <c r="C121" s="452" t="str">
        <f ca="1">VLOOKUP( $B121, Aop!$A$2:$P$456, 5, 1)</f>
        <v>690 i 691</v>
      </c>
      <c r="D121" s="584" t="str">
        <f ca="1">VLOOKUP( $B121, Aop!$A$2:$P$456, 6, 1)</f>
        <v xml:space="preserve">  L. Prihodi po osnovu promjene računovodstvenih politika i ispravke grešaka iz ranijih godina </v>
      </c>
      <c r="E121" s="585"/>
      <c r="F121" s="585"/>
      <c r="G121" s="585"/>
      <c r="H121" s="586"/>
      <c r="I121" s="168">
        <f ca="1">VLOOKUP( $B121, Aop!$A$2:$P$456, 4, 1)</f>
        <v>301</v>
      </c>
      <c r="J121" s="443"/>
      <c r="K121" s="159"/>
      <c r="L121" s="160"/>
      <c r="N121" s="44"/>
      <c r="P121" s="181"/>
    </row>
    <row r="122" spans="2:16" ht="13.5" customHeight="1">
      <c r="B122" s="15">
        <v>240</v>
      </c>
      <c r="C122" s="441" t="str">
        <f ca="1">VLOOKUP( $B122, Aop!$A$2:$P$456, 5, 1)</f>
        <v>590 i 591</v>
      </c>
      <c r="D122" s="574" t="str">
        <f ca="1">VLOOKUP( $B122, Aop!$A$2:$P$456, 6, 1)</f>
        <v xml:space="preserve">  LJ. Rashodi po osnovu promjene računovodstvenih politika i ispravke grešaka iz ranijih godina</v>
      </c>
      <c r="E122" s="575"/>
      <c r="F122" s="575"/>
      <c r="G122" s="575"/>
      <c r="H122" s="576"/>
      <c r="I122" s="169">
        <f ca="1">VLOOKUP( $B122, Aop!$A$2:$P$456, 4, 1)</f>
        <v>302</v>
      </c>
      <c r="J122" s="445"/>
      <c r="K122" s="81"/>
      <c r="L122" s="82"/>
      <c r="N122" s="44"/>
      <c r="P122" s="181"/>
    </row>
    <row r="123" spans="2:16" ht="13.5" customHeight="1">
      <c r="B123" s="15">
        <v>241</v>
      </c>
      <c r="C123" s="452">
        <f ca="1">VLOOKUP( $B123, Aop!$A$2:$P$456, 5, 1)</f>
        <v>0</v>
      </c>
      <c r="D123" s="632" t="str">
        <f ca="1">VLOOKUP( $B123, Aop!$A$2:$P$456, 6, 1)</f>
        <v>Udio u dobiti pridruženog društva i zajedničkog poduhvata primjenom metode udjela</v>
      </c>
      <c r="E123" s="633"/>
      <c r="F123" s="633"/>
      <c r="G123" s="633"/>
      <c r="H123" s="634"/>
      <c r="I123" s="122">
        <f ca="1">VLOOKUP( $B123, Aop!$A$2:$P$456, 4, 1)</f>
        <v>303</v>
      </c>
      <c r="J123" s="443"/>
      <c r="K123" s="453"/>
      <c r="L123" s="454"/>
      <c r="N123" s="44"/>
      <c r="P123" s="181"/>
    </row>
    <row r="124" spans="2:16" ht="13.5" customHeight="1">
      <c r="B124" s="15">
        <v>242</v>
      </c>
      <c r="C124" s="441">
        <f ca="1">VLOOKUP( $B124, Aop!$A$2:$P$456, 5, 1)</f>
        <v>0</v>
      </c>
      <c r="D124" s="629" t="str">
        <f ca="1">VLOOKUP( $B124, Aop!$A$2:$P$456, 6, 1)</f>
        <v>Udio u gubitku pridruženog društva i zajedničkog poduhvata primjenom metode udjela</v>
      </c>
      <c r="E124" s="630"/>
      <c r="F124" s="630"/>
      <c r="G124" s="630"/>
      <c r="H124" s="631"/>
      <c r="I124" s="123">
        <f ca="1">VLOOKUP( $B124, Aop!$A$2:$P$456, 4, 1)</f>
        <v>304</v>
      </c>
      <c r="J124" s="445"/>
      <c r="K124" s="445"/>
      <c r="L124" s="446"/>
      <c r="N124" s="44"/>
      <c r="P124" s="181"/>
    </row>
    <row r="125" spans="2:16" ht="15" customHeight="1">
      <c r="B125" s="15">
        <v>243</v>
      </c>
      <c r="C125" s="455">
        <f ca="1">VLOOKUP( $B125, Aop!$A$2:$P$456, 5, 1)</f>
        <v>0</v>
      </c>
      <c r="D125" s="584" t="str">
        <f ca="1">VLOOKUP( $B125, Aop!$A$2:$P$456, 6, 1)</f>
        <v xml:space="preserve">  UKUPNI PRIHODI (201+239+251+273+301+303)</v>
      </c>
      <c r="E125" s="585"/>
      <c r="F125" s="585"/>
      <c r="G125" s="585"/>
      <c r="H125" s="586"/>
      <c r="I125" s="168">
        <f ca="1">VLOOKUP( $B125, Aop!$A$2:$P$456, 4, 1)</f>
        <v>305</v>
      </c>
      <c r="J125" s="443"/>
      <c r="K125" s="67">
        <f>SUBTOTAL(9, K22:K33, K34, K36, K38, K59:K63, K71:K80, K93:K105,K121, K123)-SUBTOTAL(9,K35,K37)</f>
        <v>17980199</v>
      </c>
      <c r="L125" s="68">
        <f>SUBTOTAL(9, L22:L33, L34, L36, L38, L59:L63, L71:L80, L93:L105,L121, L123)-SUBTOTAL(9,L35,L37)</f>
        <v>1011834</v>
      </c>
      <c r="N125" s="44"/>
      <c r="P125" s="181"/>
    </row>
    <row r="126" spans="2:16" ht="17.25" customHeight="1">
      <c r="B126" s="15">
        <v>244</v>
      </c>
      <c r="C126" s="441">
        <f ca="1">VLOOKUP( $B126, Aop!$A$2:$P$456, 5, 1)</f>
        <v>0</v>
      </c>
      <c r="D126" s="574" t="str">
        <f ca="1">VLOOKUP( $B126, Aop!$A$2:$P$456, 6, 1)</f>
        <v xml:space="preserve">  UKUPNI RASHODI (219+244+261+286+302+304)</v>
      </c>
      <c r="E126" s="575"/>
      <c r="F126" s="575"/>
      <c r="G126" s="575"/>
      <c r="H126" s="576"/>
      <c r="I126" s="169">
        <f ca="1">VLOOKUP( $B126, Aop!$A$2:$P$456, 4, 1)</f>
        <v>306</v>
      </c>
      <c r="J126" s="445"/>
      <c r="K126" s="31">
        <f>SUBTOTAL(9, K39:K56, K64:K68, K81:K90, K106:K118,K122,K124)</f>
        <v>1679285</v>
      </c>
      <c r="L126" s="62">
        <f>SUBTOTAL(9, L39:L56, L64:L68, L81:L90, L106:L118,L122,L124)</f>
        <v>978131</v>
      </c>
      <c r="N126" s="44"/>
      <c r="P126" s="181"/>
    </row>
    <row r="127" spans="2:16" ht="23.25" customHeight="1">
      <c r="B127" s="15">
        <v>245</v>
      </c>
      <c r="C127" s="452">
        <f ca="1">VLOOKUP( $B127, Aop!$A$2:$P$456, 5, 1)</f>
        <v>0</v>
      </c>
      <c r="D127" s="584" t="str">
        <f ca="1">VLOOKUP( $B127, Aop!$A$2:$P$456, 6, 1)</f>
        <v xml:space="preserve">  M. DOBIT I GUBITAK PRIJE OPOREZIVANJA
1. Dobit prije oporezivanja (305 – 306)</v>
      </c>
      <c r="E127" s="585"/>
      <c r="F127" s="585"/>
      <c r="G127" s="585"/>
      <c r="H127" s="586"/>
      <c r="I127" s="168">
        <f ca="1">VLOOKUP( $B127, Aop!$A$2:$P$456, 4, 1)</f>
        <v>307</v>
      </c>
      <c r="J127" s="443"/>
      <c r="K127" s="67">
        <f>IF( SUBTOTAL(9, K22:K33, K34, K36, K38, K59:K63, K71:K80, K93:K105, K121, K123)- SUBTOTAL(9,K35, K37, K39:K56, K64:K68, K81:K90, K106:K118, K122, K124) &lt;=  0, 0, ABS( SUBTOTAL(9, K22:K33, K34, K36, K38, K59:K63, K71:K80, K93:K105,K121,K123)- SUBTOTAL(9,K35,K37, K39:K56, K64:K68, K81:K90, K106:K118, K122, K124)))</f>
        <v>16300914</v>
      </c>
      <c r="L127" s="68">
        <f>IF( SUBTOTAL(9, L22:L33, L34, L36, L38, L59:L63, L71:L80, L93:L105, L121, L123)- SUBTOTAL(9,L35, L37, L39:L56, L64:L68, L81:L90, L106:L118, L122, L124) &lt;=  0, 0, ABS( SUBTOTAL(9, L22:L33, L34, L36, L38, L59:L63, L71:L80, L93:L105,L121,L123)- SUBTOTAL(9,L35,L37, L39:L56, L64:L68, L81:L90, L106:L118, L122, L124)))</f>
        <v>33703</v>
      </c>
      <c r="N127" s="44"/>
      <c r="P127" s="181"/>
    </row>
    <row r="128" spans="2:16" ht="17.25" customHeight="1">
      <c r="B128" s="15">
        <v>246</v>
      </c>
      <c r="C128" s="451">
        <f ca="1">VLOOKUP( $B128, Aop!$A$2:$P$456, 5, 1)</f>
        <v>0</v>
      </c>
      <c r="D128" s="574" t="str">
        <f ca="1">VLOOKUP( $B128, Aop!$A$2:$P$456, 6, 1)</f>
        <v xml:space="preserve">  2. Gubitak prije oporezivanja (306 – 305)</v>
      </c>
      <c r="E128" s="575"/>
      <c r="F128" s="575"/>
      <c r="G128" s="575"/>
      <c r="H128" s="576"/>
      <c r="I128" s="169">
        <f ca="1">VLOOKUP( $B128, Aop!$A$2:$P$456, 4, 1)</f>
        <v>308</v>
      </c>
      <c r="J128" s="445"/>
      <c r="K128" s="31">
        <f>IF( SUBTOTAL(9, K22:K33, K34, K36, K38, K59:K63, K71:K80, K93:K105, K121, K123)- SUBTOTAL(9,K35, K37, K39:K56, K64:K68, K81:K90, K106:K118, K122, K124) &gt;=  0, 0, ABS( SUBTOTAL(9, K22:K33, K34, K36, K38, K59:K63, K71:K80, K93:K105,K121,K123)- SUBTOTAL(9,K35,K37, K39:K56, K64:K68, K81:K90, K106:K118, K122, K124)))</f>
        <v>0</v>
      </c>
      <c r="L128" s="62">
        <f>IF( SUBTOTAL(9, L22:L33, L34, L36, L38, L59:L63, L71:L80, L93:L105, L121, L123)- SUBTOTAL(9,L35, L37, L39:L56, L64:L68, L81:L90, L106:L118, L122, L124) &gt;=  0, 0, ABS( SUBTOTAL(9, L22:L33, L34, L36, L38, L59:L63, L71:L80, L93:L105,L121,L123)- SUBTOTAL(9,L35,L37, L39:L56, L64:L68, L81:L90, L106:L118, L122, L124)))</f>
        <v>0</v>
      </c>
      <c r="N128" s="44"/>
      <c r="P128" s="181"/>
    </row>
    <row r="129" spans="2:16" ht="27.75" customHeight="1">
      <c r="B129" s="15">
        <v>247</v>
      </c>
      <c r="C129" s="455" t="str">
        <f ca="1">VLOOKUP( $B129, Aop!$A$2:$P$456, 5, 1)</f>
        <v>721</v>
      </c>
      <c r="D129" s="584" t="str">
        <f ca="1">VLOOKUP( $B129, Aop!$A$2:$P$456, 6, 1)</f>
        <v xml:space="preserve">  N. TEKUĆI I ODLOŽENI POREZ NA DOBIT
1. Poreski rashodi perioda </v>
      </c>
      <c r="E129" s="585"/>
      <c r="F129" s="585"/>
      <c r="G129" s="585"/>
      <c r="H129" s="586"/>
      <c r="I129" s="168">
        <f ca="1">VLOOKUP( $B129, Aop!$A$2:$P$456, 4, 1)</f>
        <v>309</v>
      </c>
      <c r="J129" s="443"/>
      <c r="K129" s="481"/>
      <c r="L129" s="160"/>
      <c r="N129" s="44"/>
      <c r="P129" s="181"/>
    </row>
    <row r="130" spans="2:16" ht="17.25" customHeight="1">
      <c r="B130" s="15">
        <v>248</v>
      </c>
      <c r="C130" s="451">
        <f ca="1">VLOOKUP( $B130, Aop!$A$2:$P$456, 5, 1)</f>
        <v>0</v>
      </c>
      <c r="D130" s="629" t="str">
        <f ca="1">VLOOKUP( $B130, Aop!$A$2:$P$456, 6, 1)</f>
        <v xml:space="preserve">    2. Odloženi poreski rashodi (311 + 312)</v>
      </c>
      <c r="E130" s="630"/>
      <c r="F130" s="630"/>
      <c r="G130" s="630"/>
      <c r="H130" s="631"/>
      <c r="I130" s="123">
        <f ca="1">VLOOKUP( $B130, Aop!$A$2:$P$456, 4, 1)</f>
        <v>310</v>
      </c>
      <c r="J130" s="445"/>
      <c r="K130" s="152">
        <f>SUBTOTAL( 9, K131:K132)</f>
        <v>0</v>
      </c>
      <c r="L130" s="448">
        <f>SUBTOTAL( 9, L131:L132)</f>
        <v>0</v>
      </c>
      <c r="N130" s="44"/>
      <c r="P130" s="181"/>
    </row>
    <row r="131" spans="2:16" ht="17.25" customHeight="1">
      <c r="B131" s="15">
        <v>249</v>
      </c>
      <c r="C131" s="452" t="str">
        <f ca="1">VLOOKUP( $B131, Aop!$A$2:$P$456, 5, 1)</f>
        <v>722</v>
      </c>
      <c r="D131" s="632" t="str">
        <f ca="1">VLOOKUP( $B131, Aop!$A$2:$P$456, 6, 1)</f>
        <v xml:space="preserve">      2.1   Efekat smanjenja odloženih poreskih sredstava</v>
      </c>
      <c r="E131" s="633"/>
      <c r="F131" s="633"/>
      <c r="G131" s="633"/>
      <c r="H131" s="634"/>
      <c r="I131" s="122">
        <f ca="1">VLOOKUP( $B131, Aop!$A$2:$P$456, 4, 1)</f>
        <v>311</v>
      </c>
      <c r="J131" s="443"/>
      <c r="K131" s="482"/>
      <c r="L131" s="444"/>
      <c r="N131" s="44"/>
      <c r="P131" s="181"/>
    </row>
    <row r="132" spans="2:16" ht="17.25" customHeight="1">
      <c r="B132" s="15">
        <v>250</v>
      </c>
      <c r="C132" s="441" t="str">
        <f ca="1">VLOOKUP( $B132, Aop!$A$2:$P$456, 5, 1)</f>
        <v>724</v>
      </c>
      <c r="D132" s="629" t="str">
        <f ca="1">VLOOKUP( $B132, Aop!$A$2:$P$456, 6, 1)</f>
        <v xml:space="preserve">      2.2   Efekat povećanja odloženih poreskih obaveza</v>
      </c>
      <c r="E132" s="630"/>
      <c r="F132" s="630"/>
      <c r="G132" s="630"/>
      <c r="H132" s="631"/>
      <c r="I132" s="123">
        <f ca="1">VLOOKUP( $B132, Aop!$A$2:$P$456, 4, 1)</f>
        <v>312</v>
      </c>
      <c r="J132" s="445"/>
      <c r="K132" s="485"/>
      <c r="L132" s="154"/>
      <c r="N132" s="44"/>
      <c r="P132" s="181"/>
    </row>
    <row r="133" spans="2:16" ht="17.25" customHeight="1">
      <c r="B133" s="15">
        <v>251</v>
      </c>
      <c r="C133" s="452">
        <f ca="1">VLOOKUP( $B133, Aop!$A$2:$P$456, 5, 1)</f>
        <v>0</v>
      </c>
      <c r="D133" s="632" t="str">
        <f ca="1">VLOOKUP( $B133, Aop!$A$2:$P$456, 6, 1)</f>
        <v xml:space="preserve">    3. Odloženi poreski prihodi (314 + 315)</v>
      </c>
      <c r="E133" s="633"/>
      <c r="F133" s="633"/>
      <c r="G133" s="633"/>
      <c r="H133" s="634"/>
      <c r="I133" s="122">
        <f ca="1">VLOOKUP( $B133, Aop!$A$2:$P$456, 4, 1)</f>
        <v>313</v>
      </c>
      <c r="J133" s="443"/>
      <c r="K133" s="486">
        <f>SUBTOTAL( 9, K134:K135)</f>
        <v>0</v>
      </c>
      <c r="L133" s="450">
        <f>SUBTOTAL( 9, L134:L135)</f>
        <v>0</v>
      </c>
      <c r="N133" s="44"/>
      <c r="P133" s="181"/>
    </row>
    <row r="134" spans="2:16" ht="13.5" customHeight="1">
      <c r="B134" s="15">
        <v>252</v>
      </c>
      <c r="C134" s="441" t="str">
        <f ca="1">VLOOKUP( $B134, Aop!$A$2:$P$456, 5, 1)</f>
        <v>723</v>
      </c>
      <c r="D134" s="629" t="str">
        <f ca="1">VLOOKUP( $B134, Aop!$A$2:$P$456, 6, 1)</f>
        <v xml:space="preserve">      3.1 Efekat povećanja odloženih poreskih sredstava</v>
      </c>
      <c r="E134" s="630"/>
      <c r="F134" s="630"/>
      <c r="G134" s="630"/>
      <c r="H134" s="631"/>
      <c r="I134" s="123">
        <f ca="1">VLOOKUP( $B134, Aop!$A$2:$P$456, 4, 1)</f>
        <v>314</v>
      </c>
      <c r="J134" s="445"/>
      <c r="K134" s="417"/>
      <c r="L134" s="154"/>
      <c r="N134" s="44"/>
      <c r="P134" s="181"/>
    </row>
    <row r="135" spans="2:16" ht="13.5" customHeight="1">
      <c r="B135" s="15">
        <v>253</v>
      </c>
      <c r="C135" s="452" t="str">
        <f ca="1">VLOOKUP( $B135, Aop!$A$2:$P$456, 5, 1)</f>
        <v>725</v>
      </c>
      <c r="D135" s="632" t="str">
        <f ca="1">VLOOKUP( $B135, Aop!$A$2:$P$456, 6, 1)</f>
        <v xml:space="preserve">      3.2 Efekat smanjenja odloženih poreskih obaveza</v>
      </c>
      <c r="E135" s="633"/>
      <c r="F135" s="633"/>
      <c r="G135" s="633"/>
      <c r="H135" s="634"/>
      <c r="I135" s="122">
        <f ca="1">VLOOKUP( $B135, Aop!$A$2:$P$456, 4, 1)</f>
        <v>315</v>
      </c>
      <c r="J135" s="443"/>
      <c r="K135" s="443"/>
      <c r="L135" s="444"/>
      <c r="N135" s="44"/>
      <c r="P135" s="181"/>
    </row>
    <row r="136" spans="2:16" ht="24" customHeight="1">
      <c r="B136" s="15">
        <v>254</v>
      </c>
      <c r="C136" s="441">
        <f ca="1">VLOOKUP( $B136, Aop!$A$2:$P$456, 5, 1)</f>
        <v>0</v>
      </c>
      <c r="D136" s="574" t="str">
        <f ca="1">VLOOKUP( $B136, Aop!$A$2:$P$456, 6, 1)</f>
        <v xml:space="preserve">  NJ. NETO DOBIT I NETO GUBITAK PERIODA
 1. Neto dobit tekuće godine (307-309-310+313)&gt;0 i 307&gt;0 ili (313-308-309-310)&gt;0 i 308&gt;0</v>
      </c>
      <c r="E136" s="575"/>
      <c r="F136" s="575"/>
      <c r="G136" s="575"/>
      <c r="H136" s="576"/>
      <c r="I136" s="169">
        <f ca="1">VLOOKUP( $B136, Aop!$A$2:$P$456, 4, 1)</f>
        <v>316</v>
      </c>
      <c r="J136" s="445"/>
      <c r="K136" s="31">
        <f>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f>
        <v>16300914</v>
      </c>
      <c r="L136" s="62">
        <f>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f>
        <v>33703</v>
      </c>
      <c r="N136" s="44"/>
      <c r="P136" s="181"/>
    </row>
    <row r="137" spans="2:16" ht="15" customHeight="1">
      <c r="B137" s="15">
        <v>255</v>
      </c>
      <c r="C137" s="452" t="str">
        <f ca="1">VLOOKUP( $B137, Aop!$A$2:$P$456, 5, 1)</f>
        <v xml:space="preserve"> </v>
      </c>
      <c r="D137" s="584" t="str">
        <f ca="1">VLOOKUP( $B137, Aop!$A$2:$P$456, 6, 1)</f>
        <v>2. Neto gubitak tekuće godine (308+309+310-313)&gt;0 i 308&gt;0 ili (309+310-307-313)&gt;0 i 307&gt;0</v>
      </c>
      <c r="E137" s="585"/>
      <c r="F137" s="585"/>
      <c r="G137" s="585"/>
      <c r="H137" s="586"/>
      <c r="I137" s="168">
        <f ca="1">VLOOKUP( $B137, Aop!$A$2:$P$456, 4, 1)</f>
        <v>317</v>
      </c>
      <c r="J137" s="443"/>
      <c r="K137" s="67">
        <f>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f>
        <v>0</v>
      </c>
      <c r="L137" s="68">
        <f>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f>
        <v>0</v>
      </c>
      <c r="N137" s="44"/>
      <c r="P137" s="181"/>
    </row>
    <row r="138" spans="2:16" ht="20.25" customHeight="1">
      <c r="B138" s="15">
        <v>256</v>
      </c>
      <c r="C138" s="441" t="str">
        <f ca="1">VLOOKUP( $B138, Aop!$A$2:$P$456, 5, 1)</f>
        <v>726</v>
      </c>
      <c r="D138" s="629" t="str">
        <f ca="1">VLOOKUP( $B138, Aop!$A$2:$P$456, 6, 1)</f>
        <v xml:space="preserve">  O. Međudividende i drugi vidovi raspodjele dobitka u toku perioda</v>
      </c>
      <c r="E138" s="630"/>
      <c r="F138" s="630"/>
      <c r="G138" s="630"/>
      <c r="H138" s="631"/>
      <c r="I138" s="123">
        <f ca="1">VLOOKUP( $B138, Aop!$A$2:$P$456, 4, 1)</f>
        <v>318</v>
      </c>
      <c r="J138" s="445"/>
      <c r="K138" s="445"/>
      <c r="L138" s="446"/>
      <c r="N138" s="44"/>
      <c r="P138" s="181"/>
    </row>
    <row r="139" spans="2:16" ht="15" customHeight="1">
      <c r="B139" s="15">
        <v>257</v>
      </c>
      <c r="C139" s="452">
        <f ca="1">VLOOKUP( $B139, Aop!$A$2:$P$456, 5, 1)</f>
        <v>0</v>
      </c>
      <c r="D139" s="632" t="str">
        <f ca="1">VLOOKUP( $B139, Aop!$A$2:$P$456, 6, 1)</f>
        <v>Dio neto dobiti/gubitka koji pripada većinskim vlasnicima</v>
      </c>
      <c r="E139" s="633"/>
      <c r="F139" s="633"/>
      <c r="G139" s="633"/>
      <c r="H139" s="634"/>
      <c r="I139" s="122">
        <f ca="1">VLOOKUP( $B139, Aop!$A$2:$P$456, 4, 1)</f>
        <v>319</v>
      </c>
      <c r="J139" s="443"/>
      <c r="K139" s="453"/>
      <c r="L139" s="454"/>
      <c r="N139" s="44"/>
      <c r="P139" s="181"/>
    </row>
    <row r="140" spans="2:16" ht="15" customHeight="1">
      <c r="B140" s="15">
        <v>258</v>
      </c>
      <c r="C140" s="441">
        <f ca="1">VLOOKUP( $B140, Aop!$A$2:$P$456, 5, 1)</f>
        <v>0</v>
      </c>
      <c r="D140" s="629" t="str">
        <f ca="1">VLOOKUP( $B140, Aop!$A$2:$P$456, 6, 1)</f>
        <v>Dio neto dobiti/gubitka koji pripada manjinskim vlasnicima</v>
      </c>
      <c r="E140" s="630"/>
      <c r="F140" s="630"/>
      <c r="G140" s="630"/>
      <c r="H140" s="631"/>
      <c r="I140" s="123">
        <f ca="1">VLOOKUP( $B140, Aop!$A$2:$P$456, 4, 1)</f>
        <v>320</v>
      </c>
      <c r="J140" s="445"/>
      <c r="K140" s="445"/>
      <c r="L140" s="446"/>
      <c r="N140" s="44"/>
      <c r="P140" s="181"/>
    </row>
    <row r="141" spans="2:16" ht="15" customHeight="1">
      <c r="B141" s="15">
        <v>259</v>
      </c>
      <c r="C141" s="452">
        <f ca="1">VLOOKUP( $B141, Aop!$A$2:$P$456, 5, 1)</f>
        <v>0</v>
      </c>
      <c r="D141" s="632" t="str">
        <f ca="1">VLOOKUP( $B141, Aop!$A$2:$P$456, 6, 1)</f>
        <v>Obična zarada po akciji</v>
      </c>
      <c r="E141" s="633"/>
      <c r="F141" s="633"/>
      <c r="G141" s="633"/>
      <c r="H141" s="634"/>
      <c r="I141" s="122">
        <f ca="1">VLOOKUP( $B141, Aop!$A$2:$P$456, 4, 1)</f>
        <v>321</v>
      </c>
      <c r="J141" s="443"/>
      <c r="K141" s="476"/>
      <c r="L141" s="477"/>
      <c r="N141" s="44"/>
      <c r="P141" s="181"/>
    </row>
    <row r="142" spans="2:16" ht="15" customHeight="1">
      <c r="B142" s="15">
        <v>260</v>
      </c>
      <c r="C142" s="428">
        <f ca="1">VLOOKUP( $B142, Aop!$A$2:$P$456, 5, 1)</f>
        <v>0</v>
      </c>
      <c r="D142" s="602" t="str">
        <f ca="1">VLOOKUP( $B142, Aop!$A$2:$P$456, 6, 1)</f>
        <v>Razrijeđena zarada po akciji</v>
      </c>
      <c r="E142" s="603"/>
      <c r="F142" s="603"/>
      <c r="G142" s="603"/>
      <c r="H142" s="604"/>
      <c r="I142" s="123">
        <f ca="1">VLOOKUP( $B142, Aop!$A$2:$P$456, 4, 1)</f>
        <v>322</v>
      </c>
      <c r="J142" s="445"/>
      <c r="K142" s="478"/>
      <c r="L142" s="479"/>
      <c r="N142" s="44"/>
      <c r="P142" s="181"/>
    </row>
    <row r="143" spans="2:16" ht="15" customHeight="1">
      <c r="B143" s="15">
        <v>261</v>
      </c>
      <c r="C143" s="430">
        <f ca="1">VLOOKUP( $B143, Aop!$A$2:$P$456, 5, 1)</f>
        <v>0</v>
      </c>
      <c r="D143" s="599" t="str">
        <f ca="1">VLOOKUP( $B143, Aop!$A$2:$P$456, 6, 1)</f>
        <v>Prosječan broj zaposlenih po osnovu časova rada</v>
      </c>
      <c r="E143" s="600"/>
      <c r="F143" s="600"/>
      <c r="G143" s="600"/>
      <c r="H143" s="601"/>
      <c r="I143" s="122">
        <f ca="1">VLOOKUP( $B143, Aop!$A$2:$P$456, 4, 1)</f>
        <v>323</v>
      </c>
      <c r="J143" s="443"/>
      <c r="K143" s="472">
        <v>47</v>
      </c>
      <c r="L143" s="473">
        <v>54</v>
      </c>
      <c r="N143" s="44"/>
      <c r="P143" s="181"/>
    </row>
    <row r="144" spans="2:16" ht="15" customHeight="1">
      <c r="B144" s="15">
        <v>262</v>
      </c>
      <c r="C144" s="435">
        <f ca="1">VLOOKUP( $B144, Aop!$A$2:$P$456, 5, 1)</f>
        <v>0</v>
      </c>
      <c r="D144" s="637" t="str">
        <f ca="1">VLOOKUP( $B144, Aop!$A$2:$P$456, 6, 1)</f>
        <v>Prosječan broj zaposlenih po osnovu stanja na kraju mjeseca</v>
      </c>
      <c r="E144" s="638"/>
      <c r="F144" s="638"/>
      <c r="G144" s="638"/>
      <c r="H144" s="639"/>
      <c r="I144" s="186">
        <f ca="1">VLOOKUP( $B144, Aop!$A$2:$P$456, 4, 1)</f>
        <v>324</v>
      </c>
      <c r="J144" s="487"/>
      <c r="K144" s="474">
        <v>56</v>
      </c>
      <c r="L144" s="475">
        <v>57</v>
      </c>
      <c r="N144" s="44"/>
      <c r="P144" s="181"/>
    </row>
    <row r="145" spans="2:12" ht="15" customHeight="1">
      <c r="B145" s="15"/>
      <c r="C145" s="36"/>
      <c r="D145" s="39"/>
      <c r="E145" s="39"/>
      <c r="F145" s="39"/>
      <c r="G145" s="39"/>
      <c r="H145" s="39"/>
      <c r="I145" s="235"/>
    </row>
    <row r="146" spans="2:12" ht="15" customHeight="1">
      <c r="B146" s="15"/>
      <c r="C146" s="178" t="str">
        <f ca="1">Podnozje_U</f>
        <v>U:</v>
      </c>
      <c r="D146" s="411" t="str">
        <f ca="1">Podatak_U</f>
        <v>Prijedoru</v>
      </c>
      <c r="E146"/>
      <c r="F146" s="58" t="str">
        <f ca="1">Podnozje_Lice_sa_licencom</f>
        <v>Lice sa licencom:</v>
      </c>
      <c r="I146" s="36" t="str">
        <f ca="1">Podnozje_MP</f>
        <v>(M.P.)</v>
      </c>
      <c r="J146" s="625" t="str">
        <f ca="1">Podnozje_Direktor</f>
        <v>Lice ovlašćeno za zastupanje:</v>
      </c>
      <c r="K146" s="625"/>
      <c r="L146" s="625"/>
    </row>
    <row r="147" spans="2:12" ht="15" customHeight="1">
      <c r="B147" s="15"/>
      <c r="C147" s="28"/>
      <c r="D147" s="128"/>
      <c r="E147" t="s">
        <v>2912</v>
      </c>
      <c r="F147" s="659" t="str">
        <f ca="1">lice</f>
        <v>Petrašin Rodić,dipl.ecc</v>
      </c>
      <c r="G147" s="659"/>
      <c r="I147" s="78"/>
      <c r="J147" s="626" t="str">
        <f ca="1">Podatak_Direktor</f>
        <v>Stanko Vujković,dipl.ing.maš.</v>
      </c>
      <c r="K147" s="626"/>
      <c r="L147" s="626"/>
    </row>
    <row r="148" spans="2:12" ht="15" customHeight="1">
      <c r="B148" s="15"/>
      <c r="C148" s="178" t="str">
        <f ca="1">Podnozje_Dana</f>
        <v>Dana:</v>
      </c>
      <c r="D148" s="410" t="str">
        <f ca="1">Podatak_Dana</f>
        <v>31.07.2022.</v>
      </c>
      <c r="E148"/>
      <c r="F148" s="409" t="str">
        <f ca="1">licenca</f>
        <v>SR -0054/22</v>
      </c>
      <c r="G148"/>
      <c r="J148" s="9"/>
      <c r="K148" s="257"/>
      <c r="L148" s="257"/>
    </row>
    <row r="149" spans="2:12" ht="12.75" hidden="1" customHeight="1">
      <c r="B149" s="15"/>
      <c r="D149" s="9"/>
      <c r="E149" s="39"/>
      <c r="G149" s="38"/>
      <c r="H149"/>
    </row>
    <row r="150" spans="2:12" ht="12.75" customHeight="1">
      <c r="B150" s="15"/>
      <c r="C150" s="36"/>
      <c r="D150" s="39"/>
      <c r="E150" s="39"/>
      <c r="F150" s="39"/>
      <c r="G150" s="39"/>
      <c r="I150" s="9"/>
      <c r="J150" s="36"/>
      <c r="K150" s="36"/>
    </row>
    <row r="151" spans="2:12" ht="12.75" hidden="1" customHeight="1">
      <c r="H151" s="46"/>
      <c r="I151" s="47"/>
    </row>
    <row r="152" spans="2:12"/>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sheetData>
  <mergeCells count="145">
    <mergeCell ref="J146:L146"/>
    <mergeCell ref="J147:L147"/>
    <mergeCell ref="D27:H27"/>
    <mergeCell ref="D28:H28"/>
    <mergeCell ref="D29:H29"/>
    <mergeCell ref="D42:H42"/>
    <mergeCell ref="D43:H43"/>
    <mergeCell ref="D44:H44"/>
    <mergeCell ref="D60:H60"/>
    <mergeCell ref="F147:G147"/>
    <mergeCell ref="C11:E11"/>
    <mergeCell ref="D24:H24"/>
    <mergeCell ref="D25:H25"/>
    <mergeCell ref="D26:H26"/>
    <mergeCell ref="D45:H45"/>
    <mergeCell ref="D59:H59"/>
    <mergeCell ref="D49:H49"/>
    <mergeCell ref="D34:H34"/>
    <mergeCell ref="D35:H35"/>
    <mergeCell ref="D87:H87"/>
    <mergeCell ref="D72:H72"/>
    <mergeCell ref="D73:H73"/>
    <mergeCell ref="D85:H85"/>
    <mergeCell ref="D86:H86"/>
    <mergeCell ref="D82:H82"/>
    <mergeCell ref="D75:H75"/>
    <mergeCell ref="D50:H50"/>
    <mergeCell ref="D51:H51"/>
    <mergeCell ref="D52:H52"/>
    <mergeCell ref="D68:H68"/>
    <mergeCell ref="D61:H61"/>
    <mergeCell ref="D76:H76"/>
    <mergeCell ref="D66:H66"/>
    <mergeCell ref="D67:H67"/>
    <mergeCell ref="D69:H69"/>
    <mergeCell ref="D63:H63"/>
    <mergeCell ref="D54:H54"/>
    <mergeCell ref="D57:H57"/>
    <mergeCell ref="D55:H55"/>
    <mergeCell ref="D56:H56"/>
    <mergeCell ref="D77:H77"/>
    <mergeCell ref="D70:H70"/>
    <mergeCell ref="D64:H64"/>
    <mergeCell ref="D65:H65"/>
    <mergeCell ref="D58:H58"/>
    <mergeCell ref="D93:H93"/>
    <mergeCell ref="D102:H102"/>
    <mergeCell ref="D95:H95"/>
    <mergeCell ref="D97:H97"/>
    <mergeCell ref="D78:H78"/>
    <mergeCell ref="D79:H79"/>
    <mergeCell ref="D80:H80"/>
    <mergeCell ref="D81:H81"/>
    <mergeCell ref="D88:H88"/>
    <mergeCell ref="K10:L10"/>
    <mergeCell ref="D22:H22"/>
    <mergeCell ref="D23:H23"/>
    <mergeCell ref="C10:E10"/>
    <mergeCell ref="C12:E12"/>
    <mergeCell ref="C14:L14"/>
    <mergeCell ref="C15:L15"/>
    <mergeCell ref="C16:L16"/>
    <mergeCell ref="I18:I19"/>
    <mergeCell ref="K18:L18"/>
    <mergeCell ref="D38:H38"/>
    <mergeCell ref="D39:H39"/>
    <mergeCell ref="D30:H30"/>
    <mergeCell ref="D31:H31"/>
    <mergeCell ref="D32:H32"/>
    <mergeCell ref="D46:H46"/>
    <mergeCell ref="C5:E6"/>
    <mergeCell ref="C7:E7"/>
    <mergeCell ref="D8:E8"/>
    <mergeCell ref="C9:E9"/>
    <mergeCell ref="D47:H47"/>
    <mergeCell ref="D48:H48"/>
    <mergeCell ref="D33:H33"/>
    <mergeCell ref="D41:H41"/>
    <mergeCell ref="D37:H37"/>
    <mergeCell ref="D40:H40"/>
    <mergeCell ref="C13:E13"/>
    <mergeCell ref="D100:H100"/>
    <mergeCell ref="C18:C19"/>
    <mergeCell ref="D18:H19"/>
    <mergeCell ref="D74:H74"/>
    <mergeCell ref="D20:H20"/>
    <mergeCell ref="D21:H21"/>
    <mergeCell ref="D36:H36"/>
    <mergeCell ref="D53:H53"/>
    <mergeCell ref="D62:H62"/>
    <mergeCell ref="D89:H89"/>
    <mergeCell ref="D90:H90"/>
    <mergeCell ref="D91:H91"/>
    <mergeCell ref="D137:H137"/>
    <mergeCell ref="D98:H98"/>
    <mergeCell ref="D99:H99"/>
    <mergeCell ref="D112:H112"/>
    <mergeCell ref="D106:H106"/>
    <mergeCell ref="D115:H115"/>
    <mergeCell ref="D116:H116"/>
    <mergeCell ref="D138:H138"/>
    <mergeCell ref="D139:H139"/>
    <mergeCell ref="D135:H135"/>
    <mergeCell ref="D144:H144"/>
    <mergeCell ref="D140:H140"/>
    <mergeCell ref="D143:H143"/>
    <mergeCell ref="D141:H141"/>
    <mergeCell ref="D142:H142"/>
    <mergeCell ref="J18:J19"/>
    <mergeCell ref="D119:H119"/>
    <mergeCell ref="D110:H110"/>
    <mergeCell ref="D111:H111"/>
    <mergeCell ref="D114:H114"/>
    <mergeCell ref="D83:H83"/>
    <mergeCell ref="D84:H84"/>
    <mergeCell ref="D117:H117"/>
    <mergeCell ref="D71:H71"/>
    <mergeCell ref="D109:H109"/>
    <mergeCell ref="D96:H96"/>
    <mergeCell ref="D118:H118"/>
    <mergeCell ref="D92:H92"/>
    <mergeCell ref="D113:H113"/>
    <mergeCell ref="D107:H107"/>
    <mergeCell ref="D94:H94"/>
    <mergeCell ref="D104:H104"/>
    <mergeCell ref="D105:H105"/>
    <mergeCell ref="D136:H136"/>
    <mergeCell ref="D101:H101"/>
    <mergeCell ref="D108:H108"/>
    <mergeCell ref="D103:H103"/>
    <mergeCell ref="D130:H130"/>
    <mergeCell ref="D131:H131"/>
    <mergeCell ref="D132:H132"/>
    <mergeCell ref="D133:H133"/>
    <mergeCell ref="D122:H122"/>
    <mergeCell ref="D120:H120"/>
    <mergeCell ref="D134:H134"/>
    <mergeCell ref="D128:H128"/>
    <mergeCell ref="D126:H126"/>
    <mergeCell ref="D127:H127"/>
    <mergeCell ref="D121:H121"/>
    <mergeCell ref="D125:H125"/>
    <mergeCell ref="D123:H123"/>
    <mergeCell ref="D124:H124"/>
    <mergeCell ref="D129:H129"/>
  </mergeCells>
  <phoneticPr fontId="0" type="noConversion"/>
  <dataValidations xWindow="972" yWindow="539" count="4">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44:L47 K129:L129 K135:L135 K138:L140 K23:L25 K68:L68 K142:L142">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48:L48 K114:L114 K130:L130 K21:L22 K133:L133">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whole"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s>
  <pageMargins left="0.23622047244094491" right="0.23622047244094491" top="0.59055118110236227" bottom="0.55118110236220474" header="0.31496062992125984" footer="0.31496062992125984"/>
  <pageSetup paperSize="9" scale="70" orientation="portrait" r:id="rId1"/>
  <headerFooter alignWithMargins="0">
    <oddFooter>&amp;R&amp;"Tahoma,Regular"Strana &amp;P od &amp;N</oddFooter>
  </headerFooter>
  <rowBreaks count="1" manualBreakCount="1">
    <brk id="73" min="1" max="11" man="1"/>
  </rowBreaks>
  <drawing r:id="rId2"/>
</worksheet>
</file>

<file path=xl/worksheets/sheet5.xml><?xml version="1.0" encoding="utf-8"?>
<worksheet xmlns="http://schemas.openxmlformats.org/spreadsheetml/2006/main" xmlns:r="http://schemas.openxmlformats.org/officeDocument/2006/relationships">
  <sheetPr codeName="Sheet02b">
    <tabColor rgb="FFB2B2B2"/>
  </sheetPr>
  <dimension ref="B1:P60"/>
  <sheetViews>
    <sheetView showGridLines="0" showRowColHeaders="0" zoomScaleNormal="100" zoomScaleSheetLayoutView="100" workbookViewId="0">
      <pane xSplit="12" ySplit="4" topLeftCell="M26" activePane="bottomRight" state="frozen"/>
      <selection pane="topRight" activeCell="M1" sqref="M1"/>
      <selection pane="bottomLeft" activeCell="A5" sqref="A5"/>
      <selection pane="bottomRight" activeCell="K38" sqref="K38"/>
    </sheetView>
  </sheetViews>
  <sheetFormatPr defaultColWidth="0" defaultRowHeight="12.75" zeroHeight="1"/>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4" width="0" style="8" hidden="1"/>
  </cols>
  <sheetData>
    <row r="1" spans="2:12" ht="12.75" customHeight="1">
      <c r="C1" s="18"/>
      <c r="D1" s="18"/>
      <c r="E1" s="18"/>
      <c r="F1" s="18"/>
      <c r="G1" s="18"/>
      <c r="H1" s="18"/>
      <c r="I1" s="18"/>
      <c r="J1" s="18"/>
      <c r="K1" s="18"/>
    </row>
    <row r="2" spans="2:12" ht="12.75" customHeight="1">
      <c r="C2" s="18"/>
      <c r="D2" s="18"/>
      <c r="E2" s="18"/>
      <c r="F2" s="18"/>
      <c r="G2" s="18"/>
      <c r="H2" s="18"/>
      <c r="I2" s="18"/>
      <c r="J2" s="18"/>
      <c r="K2" s="18"/>
    </row>
    <row r="3" spans="2:12" ht="12.75" customHeight="1">
      <c r="C3" s="18"/>
      <c r="D3" s="18"/>
      <c r="E3" s="18"/>
      <c r="F3" s="18"/>
      <c r="G3" s="18"/>
      <c r="H3" s="18"/>
      <c r="I3" s="18"/>
      <c r="J3" s="18"/>
      <c r="K3" s="18"/>
    </row>
    <row r="4" spans="2:12" ht="12.75" customHeight="1">
      <c r="C4" s="139"/>
      <c r="D4" s="139"/>
      <c r="E4" s="139"/>
      <c r="F4" s="139"/>
      <c r="G4" s="139"/>
      <c r="H4" s="139"/>
      <c r="I4" s="139"/>
      <c r="J4" s="139"/>
      <c r="K4" s="139"/>
    </row>
    <row r="5" spans="2:12" ht="12.75" customHeight="1">
      <c r="B5" s="15"/>
      <c r="C5" s="618" t="str">
        <f ca="1">Zaglavlje_Naziv_preduzeca</f>
        <v xml:space="preserve">Naziv privrednog društva, zadruge, drugog pravnog lica ili preduzetnika: </v>
      </c>
      <c r="D5" s="618"/>
      <c r="E5" s="618"/>
      <c r="L5" s="393" t="str">
        <f ca="1">Podatak_MB</f>
        <v>01111329</v>
      </c>
    </row>
    <row r="6" spans="2:12" ht="12.75" customHeight="1">
      <c r="B6" s="15"/>
      <c r="C6" s="618"/>
      <c r="D6" s="618"/>
      <c r="E6" s="618"/>
      <c r="F6" s="9"/>
      <c r="L6" s="413" t="str">
        <f ca="1">Zaglavlje_MB</f>
        <v>Matični broj</v>
      </c>
    </row>
    <row r="7" spans="2:12" ht="12.75" customHeight="1">
      <c r="B7" s="15"/>
      <c r="C7" s="621" t="str">
        <f ca="1">Podatak_Naziv_preduzeca</f>
        <v>RUDNICI ŽELJEZNE RUDE LJUBIJA AD PRIJEDOR</v>
      </c>
      <c r="D7" s="621"/>
      <c r="E7" s="621"/>
      <c r="F7" s="621"/>
      <c r="L7" s="393" t="str">
        <f ca="1">Podatak_Sifra_djelatnosti</f>
        <v>07.10</v>
      </c>
    </row>
    <row r="8" spans="2:12" ht="12.75" customHeight="1">
      <c r="B8" s="15"/>
      <c r="C8" s="126" t="str">
        <f ca="1">Zaglavlje_Sjediste</f>
        <v>Sjedište:</v>
      </c>
      <c r="D8" s="662" t="str">
        <f ca="1">Podatak_Sjediste</f>
        <v>PRIJEDOR</v>
      </c>
      <c r="E8" s="662"/>
      <c r="F8" s="662"/>
      <c r="L8" s="413" t="str">
        <f ca="1">Zaglavlje_Sifra_djelatnosti</f>
        <v>Šifra djelatnosti</v>
      </c>
    </row>
    <row r="9" spans="2:12" ht="12.75" customHeight="1">
      <c r="B9" s="15"/>
      <c r="C9" s="620" t="str">
        <f ca="1">Zaglavlje_Ziro_racun</f>
        <v>Račun kod ovlašćene organizacije za platni promet:</v>
      </c>
      <c r="D9" s="620"/>
      <c r="E9" s="620"/>
      <c r="F9" s="241"/>
      <c r="L9" s="393" t="str">
        <f ca="1">Podatak_JIB</f>
        <v>4400692320002</v>
      </c>
    </row>
    <row r="10" spans="2:12" ht="12.75" customHeight="1">
      <c r="B10" s="15"/>
      <c r="C10" s="615" t="str">
        <f ca="1">Podatak_Ziro_racun_1</f>
        <v>555-100-00160158-32</v>
      </c>
      <c r="D10" s="615"/>
      <c r="E10" s="615"/>
      <c r="F10" s="615"/>
      <c r="K10" s="673" t="str">
        <f ca="1">Zaglavlje_JIB</f>
        <v>JIB</v>
      </c>
      <c r="L10" s="673"/>
    </row>
    <row r="11" spans="2:12" ht="12.75" customHeight="1">
      <c r="B11" s="15"/>
      <c r="C11" s="672" t="str">
        <f ca="1">Podatak_Ziro_racun_2</f>
        <v/>
      </c>
      <c r="D11" s="672"/>
      <c r="E11" s="672"/>
      <c r="F11" s="672"/>
    </row>
    <row r="12" spans="2:12" ht="12.75" customHeight="1">
      <c r="B12" s="15"/>
      <c r="C12" s="667" t="str">
        <f ca="1">Podatak_Ziro_racun_3</f>
        <v/>
      </c>
      <c r="D12" s="667"/>
      <c r="E12" s="667"/>
      <c r="F12" s="667"/>
    </row>
    <row r="13" spans="2:12" ht="12.75" customHeight="1">
      <c r="B13" s="15"/>
      <c r="C13" s="667" t="str">
        <f ca="1">Podatak_Ziro_racun_4</f>
        <v/>
      </c>
      <c r="D13" s="667"/>
      <c r="E13" s="667"/>
      <c r="F13" s="667"/>
      <c r="G13" s="18"/>
      <c r="H13" s="18"/>
      <c r="I13" s="18"/>
      <c r="J13"/>
      <c r="K13"/>
    </row>
    <row r="14" spans="2:12" ht="15.75" customHeight="1">
      <c r="B14" s="15"/>
      <c r="C14" s="623" t="str">
        <f ca="1">IF( Id_Konsolidovani, Nazivi_bilansa_Konsolidovani_naziv &amp; LOWER( Nazivi_bilansa_BUb), Nazivi_bilansa_BUb)</f>
        <v>Izvještaj</v>
      </c>
      <c r="D14" s="623"/>
      <c r="E14" s="623"/>
      <c r="F14" s="623"/>
      <c r="G14" s="623"/>
      <c r="H14" s="623"/>
      <c r="I14" s="623"/>
      <c r="J14" s="623"/>
      <c r="K14" s="623"/>
      <c r="L14" s="623"/>
    </row>
    <row r="15" spans="2:12" ht="14.25">
      <c r="B15" s="15"/>
      <c r="C15" s="674" t="str">
        <f ca="1">Nazivi_bilansa_BUb1</f>
        <v>o ostalom rezultatu u periodu</v>
      </c>
      <c r="D15" s="674"/>
      <c r="E15" s="674"/>
      <c r="F15" s="674"/>
      <c r="G15" s="674"/>
      <c r="H15" s="674"/>
      <c r="I15" s="674"/>
      <c r="J15" s="674"/>
      <c r="K15" s="674"/>
      <c r="L15" s="674"/>
    </row>
    <row r="16" spans="2:12" ht="12.75" customHeight="1">
      <c r="B16" s="15"/>
      <c r="C16" s="656" t="str">
        <f ca="1">Datumi_Datum_BU</f>
        <v>za period od 01.01. do 30.06.2022. godine</v>
      </c>
      <c r="D16" s="656"/>
      <c r="E16" s="656"/>
      <c r="F16" s="656"/>
      <c r="G16" s="656"/>
      <c r="H16" s="656"/>
      <c r="I16" s="656"/>
      <c r="J16" s="656"/>
      <c r="K16" s="656"/>
      <c r="L16" s="656"/>
    </row>
    <row r="17" spans="2:16" ht="12.75" customHeight="1">
      <c r="B17" s="15"/>
      <c r="C17" s="40"/>
      <c r="D17" s="40"/>
      <c r="E17" s="40"/>
      <c r="F17" s="40"/>
      <c r="G17" s="40"/>
      <c r="H17" s="40"/>
      <c r="I17" s="40"/>
      <c r="J17" s="40"/>
      <c r="L17" s="21" t="str">
        <f ca="1">Tabele_zaglavlje_Valuta</f>
        <v>- u konvertibilnim markama -</v>
      </c>
    </row>
    <row r="18" spans="2:16" ht="12.75" customHeight="1">
      <c r="B18" s="15"/>
      <c r="C18" s="678" t="str">
        <f ca="1">Tabele_zaglavlje_Grupa_racuna</f>
        <v>Grupa računa, račun</v>
      </c>
      <c r="D18" s="680" t="str">
        <f ca="1">Tabele_zaglavlje_Pozicija</f>
        <v>POZICIJA</v>
      </c>
      <c r="E18" s="680"/>
      <c r="F18" s="680"/>
      <c r="G18" s="680"/>
      <c r="H18" s="680"/>
      <c r="I18" s="675" t="str">
        <f ca="1">Tabele_zaglavlje_Oznaka_aop</f>
        <v>Oznaka za AOP</v>
      </c>
      <c r="J18" s="675" t="str">
        <f ca="1">Tabele_zaglavlje_Napomena_aop</f>
        <v>Napomena</v>
      </c>
      <c r="K18" s="657" t="str">
        <f ca="1">Tabele_zaglavlje_Iznos</f>
        <v>Iznos</v>
      </c>
      <c r="L18" s="677"/>
    </row>
    <row r="19" spans="2:16" ht="25.5" customHeight="1">
      <c r="B19" s="15"/>
      <c r="C19" s="679"/>
      <c r="D19" s="681"/>
      <c r="E19" s="681"/>
      <c r="F19" s="681"/>
      <c r="G19" s="681"/>
      <c r="H19" s="681"/>
      <c r="I19" s="676"/>
      <c r="J19" s="676"/>
      <c r="K19" s="42" t="str">
        <f ca="1">Tabele_zaglavlje_Tekuca_godina</f>
        <v>Tekuća godina</v>
      </c>
      <c r="L19" s="43" t="str">
        <f ca="1">Tabele_zaglavlje_Prethodna_godina</f>
        <v>Prethodna godina</v>
      </c>
      <c r="P19" s="135" t="s">
        <v>1789</v>
      </c>
    </row>
    <row r="20" spans="2:16" ht="12.75" customHeight="1">
      <c r="B20" s="12" t="s">
        <v>1527</v>
      </c>
      <c r="C20" s="69">
        <v>1</v>
      </c>
      <c r="D20" s="670">
        <v>2</v>
      </c>
      <c r="E20" s="670"/>
      <c r="F20" s="670"/>
      <c r="G20" s="670"/>
      <c r="H20" s="670"/>
      <c r="I20" s="70">
        <v>3</v>
      </c>
      <c r="J20" s="70">
        <v>4</v>
      </c>
      <c r="K20" s="70">
        <v>5</v>
      </c>
      <c r="L20" s="401">
        <v>6</v>
      </c>
    </row>
    <row r="21" spans="2:16" ht="12.75" customHeight="1">
      <c r="B21" s="15">
        <v>263</v>
      </c>
      <c r="C21" s="72">
        <f ca="1">VLOOKUP( $B21, Aop!$A$2:$P$456, 5, 1)</f>
        <v>0</v>
      </c>
      <c r="D21" s="671" t="str">
        <f ca="1">VLOOKUP( $B21, Aop!$A$2:$P$456, 6, 1)</f>
        <v>A  NETO DOBIT ILI NETO GUBITAK PERIODA</v>
      </c>
      <c r="E21" s="671"/>
      <c r="F21" s="671"/>
      <c r="G21" s="671"/>
      <c r="H21" s="671"/>
      <c r="I21" s="494">
        <f ca="1">VLOOKUP( $B21, Aop!$A$2:$P$456, 4, 1)</f>
        <v>400</v>
      </c>
      <c r="J21" s="502"/>
      <c r="K21" s="531">
        <v>16300914</v>
      </c>
      <c r="L21" s="470">
        <v>33703</v>
      </c>
      <c r="P21" s="27"/>
    </row>
    <row r="22" spans="2:16" ht="27" customHeight="1">
      <c r="B22" s="15">
        <v>264</v>
      </c>
      <c r="C22" s="66">
        <f ca="1">VLOOKUP( $B22, Aop!$A$2:$P$456, 5, 1)</f>
        <v>0</v>
      </c>
      <c r="D22" s="661" t="str">
        <f ca="1">VLOOKUP( $B22, Aop!$A$2:$P$456, 6, 1)</f>
        <v xml:space="preserve">    1. Stavke koje mogu biti reklasifikovane u bilans uspjeha (±402+403±404±405-406+407)</v>
      </c>
      <c r="E22" s="661"/>
      <c r="F22" s="661"/>
      <c r="G22" s="661"/>
      <c r="H22" s="661"/>
      <c r="I22" s="64">
        <f ca="1">VLOOKUP( $B22, Aop!$A$2:$P$456, 4, 1)</f>
        <v>401</v>
      </c>
      <c r="J22" s="503"/>
      <c r="K22" s="491">
        <f>SUBTOTAL( 9, K23:K26,K28)-SUBTOTAL( 9, K27)</f>
        <v>0</v>
      </c>
      <c r="L22" s="489">
        <f>SUBTOTAL( 9, L23:L26,L28)-SUBTOTAL( 9, L27)</f>
        <v>0</v>
      </c>
      <c r="P22" s="27"/>
    </row>
    <row r="23" spans="2:16" ht="29.25" customHeight="1">
      <c r="B23" s="15">
        <v>265</v>
      </c>
      <c r="C23" s="60" t="str">
        <f ca="1">VLOOKUP( $B23, Aop!$A$2:$P$456, 5, 1)</f>
        <v>Promjena na 332 i 333</v>
      </c>
      <c r="D23" s="663" t="str">
        <f ca="1">VLOOKUP( $B23, Aop!$A$2:$P$456, 6, 1)</f>
        <v xml:space="preserve">      1.1 Povećanje/(smanjenje) fer vrijednosti dužničkih instrumenata po fer vrijednosti kroz ostali ukupan rezultat</v>
      </c>
      <c r="E23" s="663"/>
      <c r="F23" s="663"/>
      <c r="G23" s="663"/>
      <c r="H23" s="663"/>
      <c r="I23" s="61">
        <f ca="1">VLOOKUP( $B23, Aop!$A$2:$P$456, 4, 1)</f>
        <v>402</v>
      </c>
      <c r="J23" s="490"/>
      <c r="K23" s="490"/>
      <c r="L23" s="403"/>
      <c r="P23" s="134" t="s">
        <v>2435</v>
      </c>
    </row>
    <row r="24" spans="2:16" ht="25.5">
      <c r="B24" s="15">
        <v>266</v>
      </c>
      <c r="C24" s="66" t="str">
        <f ca="1">VLOOKUP( $B24, Aop!$A$2:$P$456, 5, 1)</f>
        <v>Promjena na 331</v>
      </c>
      <c r="D24" s="661" t="str">
        <f ca="1">VLOOKUP( $B24, Aop!$A$2:$P$456, 6, 1)</f>
        <v xml:space="preserve">      1.2 Efekti proistekli iz transakcija zaštite ("hedging")</v>
      </c>
      <c r="E24" s="661"/>
      <c r="F24" s="661"/>
      <c r="G24" s="661"/>
      <c r="H24" s="661"/>
      <c r="I24" s="64">
        <f ca="1">VLOOKUP( $B24, Aop!$A$2:$P$456, 4, 1)</f>
        <v>403</v>
      </c>
      <c r="J24" s="503"/>
      <c r="K24" s="163"/>
      <c r="L24" s="164"/>
      <c r="P24"/>
    </row>
    <row r="25" spans="2:16" ht="23.25" customHeight="1">
      <c r="B25" s="15">
        <v>267</v>
      </c>
      <c r="C25" s="60">
        <f ca="1">VLOOKUP( $B25, Aop!$A$2:$P$456, 5, 1)</f>
        <v>0</v>
      </c>
      <c r="D25" s="663" t="str">
        <f ca="1">VLOOKUP( $B25, Aop!$A$2:$P$456, 6, 1)</f>
        <v xml:space="preserve">      1.3 Udio u ostalom ukupnom rezultatu pridruženog društva i zajedničkog poduhvata primjenom metode udjela</v>
      </c>
      <c r="E25" s="663"/>
      <c r="F25" s="663"/>
      <c r="G25" s="663"/>
      <c r="H25" s="663"/>
      <c r="I25" s="61">
        <f ca="1">VLOOKUP( $B25, Aop!$A$2:$P$456, 4, 1)</f>
        <v>404</v>
      </c>
      <c r="J25" s="490"/>
      <c r="K25" s="161"/>
      <c r="L25" s="162"/>
      <c r="P25"/>
    </row>
    <row r="26" spans="2:16" ht="12.75" customHeight="1">
      <c r="B26" s="15">
        <v>268</v>
      </c>
      <c r="C26" s="66">
        <f ca="1">VLOOKUP( $B26, Aop!$A$2:$P$456, 5, 1)</f>
        <v>0</v>
      </c>
      <c r="D26" s="661" t="str">
        <f ca="1">VLOOKUP( $B26, Aop!$A$2:$P$456, 6, 1)</f>
        <v xml:space="preserve">      1.4 Dobici ili gubici po osnovu konverzije finansijskih izvještaja inostranog poslovanja</v>
      </c>
      <c r="E26" s="661"/>
      <c r="F26" s="661"/>
      <c r="G26" s="661"/>
      <c r="H26" s="661"/>
      <c r="I26" s="64">
        <f ca="1">VLOOKUP( $B26, Aop!$A$2:$P$456, 4, 1)</f>
        <v>405</v>
      </c>
      <c r="J26" s="503"/>
      <c r="K26" s="404"/>
      <c r="L26" s="405"/>
      <c r="P26"/>
    </row>
    <row r="27" spans="2:16" ht="24" customHeight="1">
      <c r="B27" s="15">
        <v>269</v>
      </c>
      <c r="C27" s="60" t="str">
        <f ca="1">VLOOKUP( $B27, Aop!$A$2:$P$456, 5, 1)</f>
        <v>Promjena na 339, dio</v>
      </c>
      <c r="D27" s="663" t="str">
        <f ca="1">VLOOKUP( $B27, Aop!$A$2:$P$456, 6, 1)</f>
        <v xml:space="preserve">      1.5 Ostale stavke koje mogu biti reklasifikovane u bilans uspjeha</v>
      </c>
      <c r="E27" s="663"/>
      <c r="F27" s="663"/>
      <c r="G27" s="663"/>
      <c r="H27" s="663"/>
      <c r="I27" s="61">
        <f ca="1">VLOOKUP( $B27, Aop!$A$2:$P$456, 4, 1)</f>
        <v>406</v>
      </c>
      <c r="J27" s="490"/>
      <c r="K27" s="161"/>
      <c r="L27" s="162"/>
      <c r="P27"/>
    </row>
    <row r="28" spans="2:16" ht="12.75" customHeight="1">
      <c r="B28" s="15">
        <v>270</v>
      </c>
      <c r="C28" s="66">
        <f ca="1">VLOOKUP( $B28, Aop!$A$2:$P$456, 5, 1)</f>
        <v>0</v>
      </c>
      <c r="D28" s="661" t="str">
        <f ca="1">VLOOKUP( $B28, Aop!$A$2:$P$456, 6, 1)</f>
        <v xml:space="preserve">      1.6  Odloženi porez na dobit koji se odnosi na ove stavke </v>
      </c>
      <c r="E28" s="661"/>
      <c r="F28" s="661"/>
      <c r="G28" s="661"/>
      <c r="H28" s="661"/>
      <c r="I28" s="64">
        <f ca="1">VLOOKUP( $B28, Aop!$A$2:$P$456, 4, 1)</f>
        <v>407</v>
      </c>
      <c r="J28" s="503"/>
      <c r="K28" s="163"/>
      <c r="L28" s="164"/>
      <c r="P28"/>
    </row>
    <row r="29" spans="2:16" ht="20.25" customHeight="1">
      <c r="B29" s="15">
        <v>271</v>
      </c>
      <c r="C29" s="60">
        <f ca="1">VLOOKUP( $B29, Aop!$A$2:$P$456, 5, 1)</f>
        <v>0</v>
      </c>
      <c r="D29" s="660" t="str">
        <f ca="1">VLOOKUP( $B29, Aop!$A$2:$P$456, 6, 1)</f>
        <v xml:space="preserve">    2.  Stavke koje neće biti reklasifikovane u bilans uspjeha (± 409± 410 ± 411 ± 412 ± 413 ± 414)</v>
      </c>
      <c r="E29" s="660"/>
      <c r="F29" s="660"/>
      <c r="G29" s="660"/>
      <c r="H29" s="660"/>
      <c r="I29" s="61">
        <f ca="1">VLOOKUP( $B29, Aop!$A$2:$P$456, 4, 1)</f>
        <v>408</v>
      </c>
      <c r="J29" s="490"/>
      <c r="K29" s="438">
        <f>SUBTOTAL( 9, K30:K35)</f>
        <v>0</v>
      </c>
      <c r="L29" s="439">
        <f>SUBTOTAL( 9, L30:L35)</f>
        <v>0</v>
      </c>
      <c r="P29"/>
    </row>
    <row r="30" spans="2:16" ht="25.5">
      <c r="B30" s="15">
        <v>272</v>
      </c>
      <c r="C30" s="66" t="str">
        <f ca="1">VLOOKUP( $B30, Aop!$A$2:$P$456, 5, 1)</f>
        <v>Promjena na 330</v>
      </c>
      <c r="D30" s="661" t="str">
        <f ca="1">VLOOKUP( $B30, Aop!$A$2:$P$456, 6, 1)</f>
        <v xml:space="preserve">      2.1 Revalorizacija nekretnina, postrojenja, opreme i nematerijalne imovine</v>
      </c>
      <c r="E30" s="661"/>
      <c r="F30" s="661"/>
      <c r="G30" s="661"/>
      <c r="H30" s="661"/>
      <c r="I30" s="64">
        <f ca="1">VLOOKUP( $B30, Aop!$A$2:$P$456, 4, 1)</f>
        <v>409</v>
      </c>
      <c r="J30" s="503"/>
      <c r="K30" s="404"/>
      <c r="L30" s="405"/>
      <c r="P30"/>
    </row>
    <row r="31" spans="2:16" ht="25.5">
      <c r="B31" s="15">
        <v>273</v>
      </c>
      <c r="C31" s="60" t="str">
        <f ca="1">VLOOKUP( $B31, Aop!$A$2:$P$456, 5, 1)</f>
        <v>Promjena na 332 i 333</v>
      </c>
      <c r="D31" s="663" t="str">
        <f ca="1">VLOOKUP( $B31, Aop!$A$2:$P$456, 6, 1)</f>
        <v xml:space="preserve">      2.2  Povećanje/(smanjenje) fer vrijednosti vlasničkih instrumenata po fer vrijednosti kroz ostali ukupan rezultat</v>
      </c>
      <c r="E31" s="663"/>
      <c r="F31" s="663"/>
      <c r="G31" s="663"/>
      <c r="H31" s="663"/>
      <c r="I31" s="61">
        <f ca="1">VLOOKUP( $B31, Aop!$A$2:$P$456, 4, 1)</f>
        <v>410</v>
      </c>
      <c r="J31" s="490"/>
      <c r="K31" s="402"/>
      <c r="L31" s="403"/>
      <c r="P31"/>
    </row>
    <row r="32" spans="2:16" ht="23.25" customHeight="1">
      <c r="B32" s="15">
        <v>274</v>
      </c>
      <c r="C32" s="66" t="str">
        <f ca="1">VLOOKUP( $B32, Aop!$A$2:$P$456, 5, 1)</f>
        <v>Promjena na 339, dio</v>
      </c>
      <c r="D32" s="661" t="str">
        <f ca="1">VLOOKUP( $B32, Aop!$A$2:$P$456, 6, 1)</f>
        <v xml:space="preserve">      2.3  Aktuarski dobici/(gubici) od planova definisanih primanja</v>
      </c>
      <c r="E32" s="661"/>
      <c r="F32" s="661"/>
      <c r="G32" s="661"/>
      <c r="H32" s="661"/>
      <c r="I32" s="64">
        <f ca="1">VLOOKUP( $B32, Aop!$A$2:$P$456, 4, 1)</f>
        <v>411</v>
      </c>
      <c r="J32" s="503"/>
      <c r="K32" s="404"/>
      <c r="L32" s="405"/>
      <c r="P32"/>
    </row>
    <row r="33" spans="2:16" ht="24" customHeight="1">
      <c r="B33" s="15">
        <v>275</v>
      </c>
      <c r="C33" s="60">
        <f ca="1">VLOOKUP( $B33, Aop!$A$2:$P$456, 5, 1)</f>
        <v>0</v>
      </c>
      <c r="D33" s="663" t="str">
        <f ca="1">VLOOKUP( $B33, Aop!$A$2:$P$456, 6, 1)</f>
        <v xml:space="preserve">      2.4 Udio u ostalom ukupnom rezultatu pridruženog društva i zajedničkog poduhvata primjenom metode udjela</v>
      </c>
      <c r="E33" s="663"/>
      <c r="F33" s="663"/>
      <c r="G33" s="663"/>
      <c r="H33" s="663"/>
      <c r="I33" s="61">
        <f ca="1">VLOOKUP( $B33, Aop!$A$2:$P$456, 4, 1)</f>
        <v>412</v>
      </c>
      <c r="J33" s="490"/>
      <c r="K33" s="402"/>
      <c r="L33" s="403"/>
      <c r="P33"/>
    </row>
    <row r="34" spans="2:16" ht="25.5" customHeight="1">
      <c r="B34" s="15">
        <v>276</v>
      </c>
      <c r="C34" s="66" t="str">
        <f ca="1">VLOOKUP( $B34, Aop!$A$2:$P$456, 5, 1)</f>
        <v>Promjena na 339, dio</v>
      </c>
      <c r="D34" s="661" t="str">
        <f ca="1">VLOOKUP( $B34, Aop!$A$2:$P$456, 6, 1)</f>
        <v xml:space="preserve">      2.5 Ostale stavke koje neće biti reklasifikovane u bilans uspjeha</v>
      </c>
      <c r="E34" s="661"/>
      <c r="F34" s="661"/>
      <c r="G34" s="661"/>
      <c r="H34" s="661"/>
      <c r="I34" s="64">
        <f ca="1">VLOOKUP( $B34, Aop!$A$2:$P$456, 4, 1)</f>
        <v>413</v>
      </c>
      <c r="J34" s="503"/>
      <c r="K34" s="404"/>
      <c r="L34" s="405"/>
      <c r="P34"/>
    </row>
    <row r="35" spans="2:16" ht="12.75" customHeight="1">
      <c r="B35" s="15">
        <v>277</v>
      </c>
      <c r="C35" s="60">
        <f ca="1">VLOOKUP( $B35, Aop!$A$2:$P$456, 5, 1)</f>
        <v>0</v>
      </c>
      <c r="D35" s="663" t="str">
        <f ca="1">VLOOKUP( $B35, Aop!$A$2:$P$456, 6, 1)</f>
        <v xml:space="preserve">      2.6 Odloženi porez na dobit koji se odnosi na ove stavke</v>
      </c>
      <c r="E35" s="663"/>
      <c r="F35" s="663"/>
      <c r="G35" s="663"/>
      <c r="H35" s="663"/>
      <c r="I35" s="61">
        <f ca="1">VLOOKUP( $B35, Aop!$A$2:$P$456, 4, 1)</f>
        <v>414</v>
      </c>
      <c r="J35" s="490"/>
      <c r="K35" s="161"/>
      <c r="L35" s="162"/>
      <c r="P35"/>
    </row>
    <row r="36" spans="2:16" ht="12.75" customHeight="1">
      <c r="B36" s="15">
        <v>278</v>
      </c>
      <c r="C36" s="66">
        <f ca="1">VLOOKUP( $B36, Aop!$A$2:$P$456, 5, 1)</f>
        <v>0</v>
      </c>
      <c r="D36" s="669" t="str">
        <f ca="1">VLOOKUP( $B36, Aop!$A$2:$P$456, 6, 1)</f>
        <v xml:space="preserve">  B. OSTALA DOBIT/GUBITAK U PERIODU (± 401 ± 408)</v>
      </c>
      <c r="E36" s="669"/>
      <c r="F36" s="669"/>
      <c r="G36" s="669"/>
      <c r="H36" s="669"/>
      <c r="I36" s="168">
        <f ca="1">VLOOKUP( $B36, Aop!$A$2:$P$456, 4, 1)</f>
        <v>415</v>
      </c>
      <c r="J36" s="503"/>
      <c r="K36" s="73">
        <f>SUBTOTAL( 9, K23:K26,K28)-SUBTOTAL( 9, K27)- SUBTOTAL( 9, K29:K35)</f>
        <v>0</v>
      </c>
      <c r="L36" s="74">
        <f>SUBTOTAL( 9, L23:L26,L28)-SUBTOTAL( 9, L27)- SUBTOTAL( 9, L29:L35)</f>
        <v>0</v>
      </c>
      <c r="P36"/>
    </row>
    <row r="37" spans="2:16" ht="16.5" customHeight="1">
      <c r="B37" s="15">
        <v>279</v>
      </c>
      <c r="C37" s="60">
        <f ca="1">VLOOKUP( $B37, Aop!$A$2:$P$456, 5, 1)</f>
        <v>0</v>
      </c>
      <c r="D37" s="668" t="str">
        <f ca="1">VLOOKUP( $B37, Aop!$A$2:$P$456, 6, 1)</f>
        <v/>
      </c>
      <c r="E37" s="668"/>
      <c r="F37" s="668"/>
      <c r="G37" s="668"/>
      <c r="H37" s="668"/>
      <c r="I37" s="61">
        <f ca="1">VLOOKUP( $B37, Aop!$A$2:$P$456, 4, 1)</f>
        <v>0</v>
      </c>
      <c r="J37" s="490"/>
      <c r="K37" s="161"/>
      <c r="L37" s="162"/>
      <c r="P37"/>
    </row>
    <row r="38" spans="2:16" ht="16.5" customHeight="1">
      <c r="B38" s="15">
        <v>280</v>
      </c>
      <c r="C38" s="66">
        <f ca="1">VLOOKUP( $B38, Aop!$A$2:$P$456, 5, 1)</f>
        <v>0</v>
      </c>
      <c r="D38" s="669" t="str">
        <f ca="1">VLOOKUP( $B38, Aop!$A$2:$P$456, 6, 1)</f>
        <v xml:space="preserve"> V. UKUPNA DOBIT / (GUBITAK) (400± 415)</v>
      </c>
      <c r="E38" s="669"/>
      <c r="F38" s="669"/>
      <c r="G38" s="669"/>
      <c r="H38" s="669"/>
      <c r="I38" s="168">
        <f ca="1">VLOOKUP( $B38, Aop!$A$2:$P$456, 4, 1)</f>
        <v>416</v>
      </c>
      <c r="J38" s="503"/>
      <c r="K38" s="73">
        <f>SUBTOTAL( 9, K22:K26,K28,K21)-SUBTOTAL( 9, K27)- SUBTOTAL( 9, K29:K35)</f>
        <v>16300914</v>
      </c>
      <c r="L38" s="74">
        <f>SUBTOTAL( 9, L22:L26,L28,L21)-SUBTOTAL( 9, L27)- SUBTOTAL( 9, L29:L35)</f>
        <v>33703</v>
      </c>
      <c r="P38" s="27"/>
    </row>
    <row r="39" spans="2:16" ht="12" customHeight="1">
      <c r="B39" s="15">
        <v>281</v>
      </c>
      <c r="C39" s="60">
        <f ca="1">VLOOKUP( $B39, Aop!$A$2:$P$456, 5, 1)</f>
        <v>0</v>
      </c>
      <c r="D39" s="668" t="str">
        <f ca="1">VLOOKUP( $B39, Aop!$A$2:$P$456, 6, 1)</f>
        <v xml:space="preserve"> </v>
      </c>
      <c r="E39" s="668"/>
      <c r="F39" s="668"/>
      <c r="G39" s="668"/>
      <c r="H39" s="668"/>
      <c r="I39" s="61">
        <f ca="1">VLOOKUP( $B39, Aop!$A$2:$P$456, 4, 1)</f>
        <v>0</v>
      </c>
      <c r="J39" s="490"/>
      <c r="K39" s="161"/>
      <c r="L39" s="162"/>
      <c r="P39" s="27"/>
    </row>
    <row r="40" spans="2:16" ht="17.25" customHeight="1">
      <c r="B40" s="15">
        <v>282</v>
      </c>
      <c r="C40" s="66"/>
      <c r="D40" s="661" t="str">
        <f ca="1">VLOOKUP( $B40, Aop!$A$2:$P$456, 6, 1)</f>
        <v>Dio ukupne dobiti/gubitka koji pripada većinskim vlasnicima</v>
      </c>
      <c r="E40" s="661"/>
      <c r="F40" s="661"/>
      <c r="G40" s="661"/>
      <c r="H40" s="661"/>
      <c r="I40" s="64">
        <f ca="1">VLOOKUP( $B40, Aop!$A$2:$P$456, 4, 1)</f>
        <v>417</v>
      </c>
      <c r="J40" s="503"/>
      <c r="K40" s="404"/>
      <c r="L40" s="405"/>
      <c r="P40" s="27"/>
    </row>
    <row r="41" spans="2:16" ht="17.25" customHeight="1">
      <c r="B41" s="15">
        <v>283</v>
      </c>
      <c r="C41" s="244">
        <f ca="1">VLOOKUP( $B41, Aop!$A$2:$P$456, 5, 1)</f>
        <v>0</v>
      </c>
      <c r="D41" s="683" t="str">
        <f ca="1">VLOOKUP( $B41, Aop!$A$2:$P$456, 6, 1)</f>
        <v>Dio ukupne dobiti/gubitka koji pripada manjinskim vlasnicima</v>
      </c>
      <c r="E41" s="683"/>
      <c r="F41" s="683"/>
      <c r="G41" s="683"/>
      <c r="H41" s="683"/>
      <c r="I41" s="245">
        <f ca="1">VLOOKUP( $B41, Aop!$A$2:$P$456, 4, 1)</f>
        <v>418</v>
      </c>
      <c r="J41" s="504"/>
      <c r="K41" s="498"/>
      <c r="L41" s="499"/>
      <c r="P41" s="27"/>
    </row>
    <row r="42" spans="2:16" ht="12.75" customHeight="1">
      <c r="C42" s="36"/>
      <c r="D42" s="39"/>
      <c r="E42" s="39"/>
      <c r="F42" s="39"/>
      <c r="G42" s="39"/>
      <c r="H42" s="39"/>
      <c r="I42" s="235"/>
      <c r="J42" s="36"/>
      <c r="K42" s="36"/>
    </row>
    <row r="43" spans="2:16" ht="12.75" customHeight="1">
      <c r="C43" s="178" t="str">
        <f ca="1">Podnozje_U</f>
        <v>U:</v>
      </c>
      <c r="D43" s="411" t="str">
        <f ca="1">Podatak_U</f>
        <v>Prijedoru</v>
      </c>
      <c r="E43"/>
      <c r="F43" s="666" t="str">
        <f ca="1">Podnozje_Lice_sa_licencom</f>
        <v>Lice sa licencom:</v>
      </c>
      <c r="G43" s="666"/>
      <c r="H43" s="36" t="str">
        <f ca="1">Podnozje_MP</f>
        <v>(M.P.)</v>
      </c>
      <c r="J43" s="666" t="str">
        <f ca="1">Podnozje_Direktor</f>
        <v>Lice ovlašćeno za zastupanje:</v>
      </c>
      <c r="K43" s="666"/>
    </row>
    <row r="44" spans="2:16" ht="12.75" customHeight="1">
      <c r="C44" s="28"/>
      <c r="D44" s="128"/>
      <c r="E44"/>
      <c r="F44" s="665" t="str">
        <f ca="1">lice</f>
        <v>Petrašin Rodić,dipl.ecc</v>
      </c>
      <c r="G44" s="665"/>
      <c r="H44" s="501"/>
      <c r="I44"/>
      <c r="J44" s="682" t="str">
        <f ca="1">Podatak_Direktor</f>
        <v>Stanko Vujković,dipl.ing.maš.</v>
      </c>
      <c r="K44" s="682"/>
    </row>
    <row r="45" spans="2:16" ht="12.75" customHeight="1">
      <c r="C45" s="178" t="str">
        <f ca="1">Podnozje_Dana</f>
        <v>Dana:</v>
      </c>
      <c r="D45" s="410" t="str">
        <f ca="1">Podatak_Dana</f>
        <v>31.07.2022.</v>
      </c>
      <c r="E45"/>
      <c r="F45" s="664" t="str">
        <f ca="1">licenca</f>
        <v>SR -0054/22</v>
      </c>
      <c r="G45" s="664"/>
      <c r="J45" s="412"/>
      <c r="K45" s="412"/>
    </row>
    <row r="46" spans="2:16" ht="12.75" customHeight="1">
      <c r="C46" s="45"/>
      <c r="G46" s="38"/>
      <c r="I46" s="179"/>
      <c r="J46" s="38"/>
      <c r="K46" s="38"/>
    </row>
    <row r="47" spans="2:16" ht="12.75" hidden="1" customHeight="1">
      <c r="F47" s="39"/>
      <c r="G47" s="39"/>
      <c r="H47" s="39"/>
      <c r="I47" s="9"/>
      <c r="J47" s="36"/>
      <c r="K47" s="36"/>
    </row>
    <row r="48" spans="2:16" ht="12.75" hidden="1" customHeight="1"/>
    <row r="49" hidden="1"/>
    <row r="50" hidden="1"/>
    <row r="51" hidden="1"/>
    <row r="52" hidden="1"/>
    <row r="53" hidden="1"/>
    <row r="54" hidden="1"/>
    <row r="55" hidden="1"/>
    <row r="56" hidden="1"/>
    <row r="57" hidden="1"/>
    <row r="58" hidden="1"/>
    <row r="59" hidden="1"/>
    <row r="60" hidden="1"/>
  </sheetData>
  <protectedRanges>
    <protectedRange sqref="J21:J41" name="Range1"/>
  </protectedRanges>
  <mergeCells count="44">
    <mergeCell ref="J44:K44"/>
    <mergeCell ref="D41:H41"/>
    <mergeCell ref="D32:H32"/>
    <mergeCell ref="D33:H33"/>
    <mergeCell ref="D34:H34"/>
    <mergeCell ref="D35:H35"/>
    <mergeCell ref="D37:H37"/>
    <mergeCell ref="D40:H40"/>
    <mergeCell ref="D38:H38"/>
    <mergeCell ref="J43:K43"/>
    <mergeCell ref="K10:L10"/>
    <mergeCell ref="C15:L15"/>
    <mergeCell ref="C16:L16"/>
    <mergeCell ref="I18:I19"/>
    <mergeCell ref="J18:J19"/>
    <mergeCell ref="K18:L18"/>
    <mergeCell ref="C18:C19"/>
    <mergeCell ref="D18:H19"/>
    <mergeCell ref="C14:L14"/>
    <mergeCell ref="C12:F12"/>
    <mergeCell ref="C5:E6"/>
    <mergeCell ref="C9:E9"/>
    <mergeCell ref="D24:H24"/>
    <mergeCell ref="D25:H25"/>
    <mergeCell ref="D20:H20"/>
    <mergeCell ref="D21:H21"/>
    <mergeCell ref="D22:H22"/>
    <mergeCell ref="C7:F7"/>
    <mergeCell ref="C10:F10"/>
    <mergeCell ref="C11:F11"/>
    <mergeCell ref="F45:G45"/>
    <mergeCell ref="F44:G44"/>
    <mergeCell ref="F43:G43"/>
    <mergeCell ref="C13:F13"/>
    <mergeCell ref="D39:H39"/>
    <mergeCell ref="D36:H36"/>
    <mergeCell ref="D31:H31"/>
    <mergeCell ref="D27:H27"/>
    <mergeCell ref="D29:H29"/>
    <mergeCell ref="D28:H28"/>
    <mergeCell ref="D30:H30"/>
    <mergeCell ref="D26:H26"/>
    <mergeCell ref="D8:F8"/>
    <mergeCell ref="D23:H23"/>
  </mergeCells>
  <phoneticPr fontId="25" type="noConversion"/>
  <dataValidations xWindow="1273" yWindow="782" count="5">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worksheet>
</file>

<file path=xl/worksheets/sheet6.xml><?xml version="1.0" encoding="utf-8"?>
<worksheet xmlns="http://schemas.openxmlformats.org/spreadsheetml/2006/main" xmlns:r="http://schemas.openxmlformats.org/officeDocument/2006/relationships">
  <sheetPr codeName="Sheet03">
    <tabColor rgb="FFB2B2B2"/>
  </sheetPr>
  <dimension ref="A1:IU100"/>
  <sheetViews>
    <sheetView showGridLines="0" showRowColHeaders="0" tabSelected="1" zoomScaleNormal="100" zoomScaleSheetLayoutView="100" workbookViewId="0">
      <pane ySplit="4" topLeftCell="A50" activePane="bottomLeft" state="frozen"/>
      <selection activeCell="D15" sqref="D15"/>
      <selection pane="bottomLeft" activeCell="K88" sqref="K88"/>
    </sheetView>
  </sheetViews>
  <sheetFormatPr defaultColWidth="0" defaultRowHeight="12.75" zeroHeight="1"/>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c r="C1" s="18"/>
      <c r="D1" s="18"/>
      <c r="E1" s="18"/>
      <c r="F1" s="18"/>
      <c r="G1" s="18"/>
      <c r="H1" s="18"/>
      <c r="I1" s="18"/>
      <c r="J1" s="18"/>
      <c r="K1" s="18"/>
    </row>
    <row r="2" spans="3:12">
      <c r="C2" s="18"/>
      <c r="D2" s="18"/>
      <c r="E2" s="18"/>
      <c r="F2" s="18"/>
      <c r="G2" s="18"/>
      <c r="H2" s="18"/>
      <c r="I2" s="18"/>
      <c r="J2" s="18"/>
      <c r="K2" s="18"/>
    </row>
    <row r="3" spans="3:12">
      <c r="C3" s="18"/>
      <c r="D3" s="18"/>
      <c r="E3" s="18"/>
      <c r="F3" s="18"/>
      <c r="G3" s="18"/>
      <c r="H3" s="18"/>
      <c r="I3" s="18"/>
      <c r="J3" s="18"/>
      <c r="K3" s="18"/>
    </row>
    <row r="4" spans="3:12">
      <c r="C4" s="18"/>
      <c r="D4" s="18"/>
      <c r="E4" s="18"/>
      <c r="F4" s="18"/>
      <c r="G4" s="18"/>
      <c r="H4" s="18"/>
      <c r="I4" s="18"/>
      <c r="J4" s="18"/>
      <c r="K4" s="18"/>
    </row>
    <row r="5" spans="3:12" ht="12.75" customHeight="1">
      <c r="C5" s="618" t="str">
        <f ca="1">Zaglavlje_Naziv_preduzeca</f>
        <v xml:space="preserve">Naziv privrednog društva, zadruge, drugog pravnog lica ili preduzetnika: </v>
      </c>
      <c r="D5" s="618"/>
      <c r="E5" s="618"/>
      <c r="K5" s="9"/>
      <c r="L5" s="393" t="str">
        <f ca="1">Podatak_MB</f>
        <v>01111329</v>
      </c>
    </row>
    <row r="6" spans="3:12" ht="10.5" customHeight="1">
      <c r="C6" s="618"/>
      <c r="D6" s="618"/>
      <c r="E6" s="618"/>
      <c r="F6" s="9"/>
      <c r="K6" s="9"/>
      <c r="L6" s="413" t="str">
        <f ca="1">Zaglavlje_MB</f>
        <v>Matični broj</v>
      </c>
    </row>
    <row r="7" spans="3:12" ht="9" customHeight="1">
      <c r="C7" s="685" t="str">
        <f ca="1">Podatak_Naziv_preduzeca</f>
        <v>RUDNICI ŽELJEZNE RUDE LJUBIJA AD PRIJEDOR</v>
      </c>
      <c r="D7" s="685"/>
      <c r="E7" s="685"/>
      <c r="F7" s="685"/>
      <c r="K7" s="9"/>
      <c r="L7" s="393" t="str">
        <f ca="1">Podatak_Sifra_djelatnosti</f>
        <v>07.10</v>
      </c>
    </row>
    <row r="8" spans="3:12">
      <c r="C8" s="126" t="str">
        <f ca="1">Zaglavlje_Sjediste</f>
        <v>Sjedište:</v>
      </c>
      <c r="D8" s="622" t="str">
        <f ca="1">Podatak_Sjediste</f>
        <v>PRIJEDOR</v>
      </c>
      <c r="E8" s="622"/>
      <c r="F8" s="622"/>
      <c r="K8" s="9"/>
      <c r="L8" s="413" t="str">
        <f ca="1">Zaglavlje_Sifra_djelatnosti</f>
        <v>Šifra djelatnosti</v>
      </c>
    </row>
    <row r="9" spans="3:12" ht="12.75" customHeight="1">
      <c r="C9" s="620" t="str">
        <f ca="1">Zaglavlje_Ziro_racun</f>
        <v>Račun kod ovlašćene organizacije za platni promet:</v>
      </c>
      <c r="D9" s="620"/>
      <c r="E9" s="620"/>
      <c r="F9" s="17"/>
      <c r="K9" s="9"/>
      <c r="L9" s="393" t="str">
        <f ca="1">Podatak_JIB</f>
        <v>4400692320002</v>
      </c>
    </row>
    <row r="10" spans="3:12">
      <c r="C10" s="615" t="str">
        <f ca="1">Podatak_Ziro_racun_1</f>
        <v>555-100-00160158-32</v>
      </c>
      <c r="D10" s="615"/>
      <c r="E10" s="615"/>
      <c r="F10" s="615"/>
      <c r="K10" s="655" t="str">
        <f ca="1">Zaglavlje_JIB</f>
        <v>JIB</v>
      </c>
      <c r="L10" s="655"/>
    </row>
    <row r="11" spans="3:12" ht="10.5" customHeight="1">
      <c r="C11" s="667" t="str">
        <f ca="1">Podatak_Ziro_racun_2</f>
        <v/>
      </c>
      <c r="D11" s="667"/>
      <c r="E11" s="667"/>
      <c r="F11" s="667"/>
    </row>
    <row r="12" spans="3:12" ht="10.5" customHeight="1">
      <c r="C12" s="615" t="str">
        <f ca="1">Podatak_Ziro_racun_3</f>
        <v/>
      </c>
      <c r="D12" s="615"/>
      <c r="E12" s="615"/>
      <c r="F12" s="615"/>
    </row>
    <row r="13" spans="3:12" ht="9.75" customHeight="1">
      <c r="C13" s="640" t="str">
        <f ca="1">Podatak_Ziro_racun_4</f>
        <v/>
      </c>
      <c r="D13" s="640"/>
      <c r="E13" s="640"/>
      <c r="F13" s="640"/>
      <c r="G13" s="18"/>
      <c r="H13" s="18"/>
      <c r="I13" s="18"/>
      <c r="J13"/>
      <c r="K13"/>
    </row>
    <row r="14" spans="3:12" ht="15.75">
      <c r="C14" s="687" t="str">
        <f ca="1">IF( Id_Konsolidovani, Nazivi_bilansa_Konsolidovani_naziv &amp; LOWER( Nazivi_bilansa_BTG), Nazivi_bilansa_BTG)</f>
        <v>Bilans tokova gotovine</v>
      </c>
      <c r="D14" s="687"/>
      <c r="E14" s="687"/>
      <c r="F14" s="687"/>
      <c r="G14" s="687"/>
      <c r="H14" s="687"/>
      <c r="I14" s="687"/>
      <c r="J14" s="687"/>
      <c r="K14" s="687"/>
      <c r="L14" s="687"/>
    </row>
    <row r="15" spans="3:12">
      <c r="C15" s="684" t="str">
        <f ca="1">Nazivi_bilansa_BTG1</f>
        <v>(Izvještaj o tokovima gotovine)</v>
      </c>
      <c r="D15" s="684"/>
      <c r="E15" s="684"/>
      <c r="F15" s="684"/>
      <c r="G15" s="684"/>
      <c r="H15" s="684"/>
      <c r="I15" s="684"/>
      <c r="J15" s="684"/>
      <c r="K15" s="684"/>
      <c r="L15" s="684"/>
    </row>
    <row r="16" spans="3:12">
      <c r="C16" s="684" t="str">
        <f ca="1">Datumi_Datum_BTG</f>
        <v>za period od 01.01. do 30.06.2022. godine</v>
      </c>
      <c r="D16" s="684"/>
      <c r="E16" s="684"/>
      <c r="F16" s="684"/>
      <c r="G16" s="684"/>
      <c r="H16" s="684"/>
      <c r="I16" s="684"/>
      <c r="J16" s="684"/>
      <c r="K16" s="684"/>
      <c r="L16" s="684"/>
    </row>
    <row r="17" spans="2:16" ht="11.25" customHeight="1">
      <c r="D17" s="18"/>
      <c r="E17" s="18"/>
      <c r="F17" s="18"/>
      <c r="G17" s="18"/>
      <c r="H17" s="18"/>
      <c r="I17" s="18"/>
      <c r="J17" s="18"/>
      <c r="K17" s="48" t="str">
        <f ca="1">Tabele_zaglavlje_Valuta</f>
        <v>- u konvertibilnim markama -</v>
      </c>
    </row>
    <row r="18" spans="2:16">
      <c r="C18" s="678" t="str">
        <f ca="1">Tabele_zaglavlje_Redni_broj</f>
        <v>Redni broj</v>
      </c>
      <c r="D18" s="680" t="str">
        <f ca="1">Tabele_zaglavlje_Pozicija</f>
        <v>POZICIJA</v>
      </c>
      <c r="E18" s="680"/>
      <c r="F18" s="680"/>
      <c r="G18" s="680"/>
      <c r="H18" s="680"/>
      <c r="I18" s="675" t="str">
        <f ca="1">Tabele_zaglavlje_Oznaka_aop</f>
        <v>Oznaka za AOP</v>
      </c>
      <c r="J18" s="675" t="str">
        <f ca="1">Tabele_zaglavlje_Napomena_aop</f>
        <v>Napomena</v>
      </c>
      <c r="K18" s="657" t="str">
        <f ca="1">Tabele_zaglavlje_Iznos</f>
        <v>Iznos</v>
      </c>
      <c r="L18" s="658"/>
      <c r="N18" s="41"/>
    </row>
    <row r="19" spans="2:16" ht="25.5">
      <c r="C19" s="679"/>
      <c r="D19" s="681"/>
      <c r="E19" s="681"/>
      <c r="F19" s="681"/>
      <c r="G19" s="681"/>
      <c r="H19" s="681"/>
      <c r="I19" s="676"/>
      <c r="J19" s="676"/>
      <c r="K19" s="42" t="str">
        <f ca="1">Tabele_zaglavlje_Tekuca_godina</f>
        <v>Tekuća godina</v>
      </c>
      <c r="L19" s="43" t="str">
        <f ca="1">Tabele_zaglavlje_Prethodna_godina</f>
        <v>Prethodna godina</v>
      </c>
      <c r="N19" s="41"/>
      <c r="P19" s="135" t="s">
        <v>1789</v>
      </c>
    </row>
    <row r="20" spans="2:16">
      <c r="B20" s="44" t="s">
        <v>1527</v>
      </c>
      <c r="C20" s="69">
        <v>1</v>
      </c>
      <c r="D20" s="670">
        <v>2</v>
      </c>
      <c r="E20" s="670"/>
      <c r="F20" s="670"/>
      <c r="G20" s="670"/>
      <c r="H20" s="670"/>
      <c r="I20" s="70">
        <v>3</v>
      </c>
      <c r="J20" s="70"/>
      <c r="K20" s="457">
        <v>4</v>
      </c>
      <c r="L20" s="458">
        <v>5</v>
      </c>
    </row>
    <row r="21" spans="2:16" ht="21.75" customHeight="1">
      <c r="B21" s="49">
        <v>284</v>
      </c>
      <c r="C21" s="71" t="str">
        <f ca="1">VLOOKUP( $B21, Aop!$A$2:$P$456, 5, 1)</f>
        <v>A_x000D_
I</v>
      </c>
      <c r="D21" s="690" t="str">
        <f ca="1">VLOOKUP( $B21, Aop!$A$2:$P$456, 6, 1)</f>
        <v>TOKOVI GOTOVINE IZ POSLOVNIH AKTIVNOSTI 
Prilivi gotovine iz poslovne aktivnosti (502 do 505)</v>
      </c>
      <c r="E21" s="690"/>
      <c r="F21" s="690"/>
      <c r="G21" s="690"/>
      <c r="H21" s="690"/>
      <c r="I21" s="456">
        <f ca="1">VLOOKUP( $B21, Aop!$A$2:$P$456, 4, 1)</f>
        <v>501</v>
      </c>
      <c r="J21" s="205"/>
      <c r="K21" s="398">
        <f>SUBTOTAL( 9, K22:K25)</f>
        <v>1522166</v>
      </c>
      <c r="L21" s="399">
        <f>SUBTOTAL( 9, L22:L25)</f>
        <v>570838</v>
      </c>
      <c r="P21" s="27"/>
    </row>
    <row r="22" spans="2:16" ht="12" customHeight="1">
      <c r="B22" s="49">
        <v>285</v>
      </c>
      <c r="C22" s="60" t="str">
        <f ca="1">VLOOKUP( $B22, Aop!$A$2:$P$456, 5, 1)</f>
        <v>1</v>
      </c>
      <c r="D22" s="663" t="str">
        <f ca="1">VLOOKUP( $B22, Aop!$A$2:$P$456, 6, 1)</f>
        <v xml:space="preserve">    Prilivi od kupaca i primljeni avansi u zemlji</v>
      </c>
      <c r="E22" s="663"/>
      <c r="F22" s="663"/>
      <c r="G22" s="663"/>
      <c r="H22" s="663"/>
      <c r="I22" s="61">
        <f ca="1">VLOOKUP( $B22, Aop!$A$2:$P$456, 4, 1)</f>
        <v>502</v>
      </c>
      <c r="J22" s="153"/>
      <c r="K22" s="153">
        <v>1472014</v>
      </c>
      <c r="L22" s="154">
        <v>523124</v>
      </c>
      <c r="P22" s="27"/>
    </row>
    <row r="23" spans="2:16" ht="12" customHeight="1">
      <c r="B23" s="49">
        <v>286</v>
      </c>
      <c r="C23" s="63" t="str">
        <f ca="1">VLOOKUP( $B23, Aop!$A$2:$P$456, 5, 1)</f>
        <v>2</v>
      </c>
      <c r="D23" s="686" t="str">
        <f ca="1">VLOOKUP( $B23, Aop!$A$2:$P$456, 6, 1)</f>
        <v xml:space="preserve">    Prilivi od kupaca i primljeni avansi u inostranstvu</v>
      </c>
      <c r="E23" s="686"/>
      <c r="F23" s="686"/>
      <c r="G23" s="686"/>
      <c r="H23" s="686"/>
      <c r="I23" s="75">
        <f ca="1">VLOOKUP( $B23, Aop!$A$2:$P$456, 4, 1)</f>
        <v>503</v>
      </c>
      <c r="J23" s="155"/>
      <c r="K23" s="155"/>
      <c r="L23" s="156"/>
      <c r="P23" s="27"/>
    </row>
    <row r="24" spans="2:16" ht="12" customHeight="1">
      <c r="B24" s="49">
        <v>287</v>
      </c>
      <c r="C24" s="60" t="str">
        <f ca="1">VLOOKUP( $B24, Aop!$A$2:$P$456, 5, 1)</f>
        <v>3</v>
      </c>
      <c r="D24" s="663" t="str">
        <f ca="1">VLOOKUP( $B24, Aop!$A$2:$P$456, 6, 1)</f>
        <v xml:space="preserve">    Prilivi od premija, subvencija, dotacija i sl.</v>
      </c>
      <c r="E24" s="663"/>
      <c r="F24" s="663"/>
      <c r="G24" s="663"/>
      <c r="H24" s="663"/>
      <c r="I24" s="61">
        <f ca="1">VLOOKUP( $B24, Aop!$A$2:$P$456, 4, 1)</f>
        <v>504</v>
      </c>
      <c r="J24" s="153"/>
      <c r="K24" s="153"/>
      <c r="L24" s="154"/>
      <c r="P24" s="27"/>
    </row>
    <row r="25" spans="2:16" ht="12" customHeight="1">
      <c r="B25" s="49">
        <v>288</v>
      </c>
      <c r="C25" s="63" t="str">
        <f ca="1">VLOOKUP( $B25, Aop!$A$2:$P$456, 5, 1)</f>
        <v>4</v>
      </c>
      <c r="D25" s="686" t="str">
        <f ca="1">VLOOKUP( $B25, Aop!$A$2:$P$456, 6, 1)</f>
        <v xml:space="preserve">    Ostali prilivi iz poslovnih aktivnosti</v>
      </c>
      <c r="E25" s="686"/>
      <c r="F25" s="686"/>
      <c r="G25" s="686"/>
      <c r="H25" s="686"/>
      <c r="I25" s="75">
        <f ca="1">VLOOKUP( $B25, Aop!$A$2:$P$456, 4, 1)</f>
        <v>505</v>
      </c>
      <c r="J25" s="155"/>
      <c r="K25" s="157">
        <v>50152</v>
      </c>
      <c r="L25" s="158">
        <v>47714</v>
      </c>
      <c r="P25" s="27"/>
    </row>
    <row r="26" spans="2:16" ht="12" customHeight="1">
      <c r="B26" s="49">
        <v>289</v>
      </c>
      <c r="C26" s="60" t="str">
        <f ca="1">VLOOKUP( $B26, Aop!$A$2:$P$456, 5, 1)</f>
        <v>II</v>
      </c>
      <c r="D26" s="668" t="str">
        <f ca="1">VLOOKUP( $B26, Aop!$A$2:$P$456, 6, 1)</f>
        <v xml:space="preserve">    Odlivi gotovine iz poslovnih aktivnosti (507 do 512)</v>
      </c>
      <c r="E26" s="668"/>
      <c r="F26" s="668"/>
      <c r="G26" s="668"/>
      <c r="H26" s="668"/>
      <c r="I26" s="169">
        <f ca="1">VLOOKUP( $B26, Aop!$A$2:$P$456, 4, 1)</f>
        <v>506</v>
      </c>
      <c r="J26" s="153"/>
      <c r="K26" s="31">
        <f>SUBTOTAL( 9, K27:K32)</f>
        <v>2036293</v>
      </c>
      <c r="L26" s="62">
        <f>SUBTOTAL( 9, L27:L32)</f>
        <v>828378</v>
      </c>
      <c r="P26" s="27"/>
    </row>
    <row r="27" spans="2:16" ht="12" customHeight="1">
      <c r="B27" s="49">
        <v>290</v>
      </c>
      <c r="C27" s="63" t="str">
        <f ca="1">VLOOKUP( $B27, Aop!$A$2:$P$456, 5, 1)</f>
        <v>1</v>
      </c>
      <c r="D27" s="686" t="str">
        <f ca="1">VLOOKUP( $B27, Aop!$A$2:$P$456, 6, 1)</f>
        <v xml:space="preserve">    Odlivi po osnovu isplata dobavljačima i dati avansi u zemlji</v>
      </c>
      <c r="E27" s="686"/>
      <c r="F27" s="686"/>
      <c r="G27" s="686"/>
      <c r="H27" s="686"/>
      <c r="I27" s="75">
        <f ca="1">VLOOKUP( $B27, Aop!$A$2:$P$456, 4, 1)</f>
        <v>507</v>
      </c>
      <c r="J27" s="155"/>
      <c r="K27" s="155">
        <f>1210098-1</f>
        <v>1210097</v>
      </c>
      <c r="L27" s="156">
        <v>108577</v>
      </c>
      <c r="P27" s="27"/>
    </row>
    <row r="28" spans="2:16" ht="12" customHeight="1">
      <c r="B28" s="49">
        <v>291</v>
      </c>
      <c r="C28" s="60" t="str">
        <f ca="1">VLOOKUP( $B28, Aop!$A$2:$P$456, 5, 1)</f>
        <v>2</v>
      </c>
      <c r="D28" s="663" t="str">
        <f ca="1">VLOOKUP( $B28, Aop!$A$2:$P$456, 6, 1)</f>
        <v xml:space="preserve">    Odlivi po osnovu isplata dobavljačima i dati avansi u inostranstvu</v>
      </c>
      <c r="E28" s="663"/>
      <c r="F28" s="663"/>
      <c r="G28" s="663"/>
      <c r="H28" s="663"/>
      <c r="I28" s="61">
        <f ca="1">VLOOKUP( $B28, Aop!$A$2:$P$456, 4, 1)</f>
        <v>508</v>
      </c>
      <c r="J28" s="153"/>
      <c r="K28" s="153">
        <v>8071</v>
      </c>
      <c r="L28" s="154"/>
      <c r="P28" s="27"/>
    </row>
    <row r="29" spans="2:16" ht="12" customHeight="1">
      <c r="B29" s="49">
        <v>292</v>
      </c>
      <c r="C29" s="63" t="str">
        <f ca="1">VLOOKUP( $B29, Aop!$A$2:$P$456, 5, 1)</f>
        <v>3</v>
      </c>
      <c r="D29" s="686" t="str">
        <f ca="1">VLOOKUP( $B29, Aop!$A$2:$P$456, 6, 1)</f>
        <v xml:space="preserve">    Odlivi po osnovu plaćenih kamata</v>
      </c>
      <c r="E29" s="686"/>
      <c r="F29" s="686"/>
      <c r="G29" s="686"/>
      <c r="H29" s="686"/>
      <c r="I29" s="75">
        <f ca="1">VLOOKUP( $B29, Aop!$A$2:$P$456, 4, 1)</f>
        <v>509</v>
      </c>
      <c r="J29" s="155"/>
      <c r="K29" s="155"/>
      <c r="L29" s="156"/>
      <c r="P29" s="27"/>
    </row>
    <row r="30" spans="2:16" ht="12" customHeight="1">
      <c r="B30" s="49">
        <v>293</v>
      </c>
      <c r="C30" s="60" t="str">
        <f ca="1">VLOOKUP( $B30, Aop!$A$2:$P$456, 5, 1)</f>
        <v>4</v>
      </c>
      <c r="D30" s="663" t="str">
        <f ca="1">VLOOKUP( $B30, Aop!$A$2:$P$456, 6, 1)</f>
        <v xml:space="preserve">    Odlivi po osnovu isplata zarada, naknada zarada i ostalih ličnih rashoda</v>
      </c>
      <c r="E30" s="663"/>
      <c r="F30" s="663"/>
      <c r="G30" s="663"/>
      <c r="H30" s="663"/>
      <c r="I30" s="61">
        <f ca="1">VLOOKUP( $B30, Aop!$A$2:$P$456, 4, 1)</f>
        <v>510</v>
      </c>
      <c r="J30" s="153"/>
      <c r="K30" s="153">
        <v>611056</v>
      </c>
      <c r="L30" s="154">
        <v>592577</v>
      </c>
      <c r="P30" s="27"/>
    </row>
    <row r="31" spans="2:16" ht="12" customHeight="1">
      <c r="B31" s="49">
        <v>294</v>
      </c>
      <c r="C31" s="63" t="str">
        <f ca="1">VLOOKUP( $B31, Aop!$A$2:$P$456, 5, 1)</f>
        <v>5</v>
      </c>
      <c r="D31" s="686" t="str">
        <f ca="1">VLOOKUP( $B31, Aop!$A$2:$P$456, 6, 1)</f>
        <v xml:space="preserve">    Odlivi po osnovu poreza na dobit</v>
      </c>
      <c r="E31" s="686"/>
      <c r="F31" s="686"/>
      <c r="G31" s="686"/>
      <c r="H31" s="686"/>
      <c r="I31" s="75">
        <f ca="1">VLOOKUP( $B31, Aop!$A$2:$P$456, 4, 1)</f>
        <v>511</v>
      </c>
      <c r="J31" s="155"/>
      <c r="K31" s="155"/>
      <c r="L31" s="156"/>
      <c r="P31" s="27"/>
    </row>
    <row r="32" spans="2:16" ht="12" customHeight="1">
      <c r="B32" s="49">
        <v>295</v>
      </c>
      <c r="C32" s="60" t="str">
        <f ca="1">VLOOKUP( $B32, Aop!$A$2:$P$456, 5, 1)</f>
        <v>6</v>
      </c>
      <c r="D32" s="663" t="str">
        <f ca="1">VLOOKUP( $B32, Aop!$A$2:$P$456, 6, 1)</f>
        <v xml:space="preserve">    Ostali odlivi iz poslovnih aktivnosti</v>
      </c>
      <c r="E32" s="663"/>
      <c r="F32" s="663"/>
      <c r="G32" s="663"/>
      <c r="H32" s="663"/>
      <c r="I32" s="61">
        <f ca="1">VLOOKUP( $B32, Aop!$A$2:$P$456, 4, 1)</f>
        <v>512</v>
      </c>
      <c r="J32" s="153"/>
      <c r="K32" s="153">
        <v>207069</v>
      </c>
      <c r="L32" s="154">
        <v>127224</v>
      </c>
      <c r="P32" s="27"/>
    </row>
    <row r="33" spans="2:16">
      <c r="B33" s="49">
        <v>296</v>
      </c>
      <c r="C33" s="63" t="str">
        <f ca="1">VLOOKUP( $B33, Aop!$A$2:$P$456, 5, 1)</f>
        <v>III</v>
      </c>
      <c r="D33" s="688" t="str">
        <f ca="1">VLOOKUP( $B33, Aop!$A$2:$P$456, 6, 1)</f>
        <v xml:space="preserve">  Neto priliv gotovine iz poslovnih aktivnosti (501 – 506)</v>
      </c>
      <c r="E33" s="688"/>
      <c r="F33" s="688"/>
      <c r="G33" s="688"/>
      <c r="H33" s="688"/>
      <c r="I33" s="188">
        <f ca="1">VLOOKUP( $B33, Aop!$A$2:$P$456, 4, 1)</f>
        <v>513</v>
      </c>
      <c r="J33" s="155"/>
      <c r="K33" s="67">
        <f>IF( SUBTOTAL( 9, K21:K25) - SUBTOTAL( 9, K26:K32) &lt;= 0, 0, ABS( SUBTOTAL( 9, K21:K25) - SUBTOTAL( 9, K26:K32)) )</f>
        <v>0</v>
      </c>
      <c r="L33" s="68">
        <f>IF( SUBTOTAL( 9, L21:L25) - SUBTOTAL( 9, L26:L32) &lt;= 0, 0, ABS( SUBTOTAL( 9, L21:L25) - SUBTOTAL( 9, L26:L32)) )</f>
        <v>0</v>
      </c>
      <c r="P33" s="27"/>
    </row>
    <row r="34" spans="2:16">
      <c r="B34" s="49">
        <v>297</v>
      </c>
      <c r="C34" s="60" t="str">
        <f ca="1">VLOOKUP( $B34, Aop!$A$2:$P$456, 5, 1)</f>
        <v>IV</v>
      </c>
      <c r="D34" s="668" t="str">
        <f ca="1">VLOOKUP( $B34, Aop!$A$2:$P$456, 6, 1)</f>
        <v xml:space="preserve">  Neto odliv gotovine iz poslovnih aktivnosti (506 – 501)</v>
      </c>
      <c r="E34" s="668"/>
      <c r="F34" s="668"/>
      <c r="G34" s="668"/>
      <c r="H34" s="668"/>
      <c r="I34" s="169">
        <f ca="1">VLOOKUP( $B34, Aop!$A$2:$P$456, 4, 1)</f>
        <v>514</v>
      </c>
      <c r="J34" s="153"/>
      <c r="K34" s="31">
        <f>IF( SUBTOTAL( 9, K21:K25) - SUBTOTAL( 9, K26:K32) &gt;= 0, 0, ABS( SUBTOTAL( 9, K21:K25) - SUBTOTAL( 9, K26:K32)) )</f>
        <v>514127</v>
      </c>
      <c r="L34" s="62">
        <f>IF( SUBTOTAL( 9, L21:L25) - SUBTOTAL( 9, L26:L32) &gt;= 0, 0, ABS( SUBTOTAL( 9, L21:L25) - SUBTOTAL( 9, L26:L32)) )</f>
        <v>257540</v>
      </c>
      <c r="P34" s="27"/>
    </row>
    <row r="35" spans="2:16" ht="23.25" customHeight="1">
      <c r="B35" s="49">
        <v>298</v>
      </c>
      <c r="C35" s="63" t="str">
        <f ca="1">VLOOKUP( $B35, Aop!$A$2:$P$456, 5, 1)</f>
        <v>B_x000D_
I</v>
      </c>
      <c r="D35" s="688" t="str">
        <f ca="1">VLOOKUP( $B35, Aop!$A$2:$P$456, 6, 1)</f>
        <v>TOKOVI GOTOVINE IZ AKTIVNOSTI INVESTIRANJA
Prilivi gotovine iz aktivnosti investiranja (516 do 530)</v>
      </c>
      <c r="E35" s="688"/>
      <c r="F35" s="688"/>
      <c r="G35" s="688"/>
      <c r="H35" s="688"/>
      <c r="I35" s="188">
        <f ca="1">VLOOKUP( $B35, Aop!$A$2:$P$456, 4, 1)</f>
        <v>515</v>
      </c>
      <c r="J35" s="155"/>
      <c r="K35" s="67">
        <f>SUBTOTAL( 9, K36:K50)</f>
        <v>17085001</v>
      </c>
      <c r="L35" s="68">
        <f>SUBTOTAL( 9, L36:L50)</f>
        <v>0</v>
      </c>
      <c r="P35" s="27"/>
    </row>
    <row r="36" spans="2:16" ht="21" customHeight="1">
      <c r="B36" s="49">
        <v>299</v>
      </c>
      <c r="C36" s="60" t="str">
        <f ca="1">VLOOKUP( $B36, Aop!$A$2:$P$456, 5, 1)</f>
        <v>1</v>
      </c>
      <c r="D36" s="663" t="str">
        <f ca="1">VLOOKUP( $B36, Aop!$A$2:$P$456, 6, 1)</f>
        <v xml:space="preserve">    Prilivi gotovine po osnovu prodaje akcija i udjela zavisnih i pridruženih društava i zajedničkih poduhvata</v>
      </c>
      <c r="E36" s="663"/>
      <c r="F36" s="663"/>
      <c r="G36" s="663"/>
      <c r="H36" s="663"/>
      <c r="I36" s="61">
        <f ca="1">VLOOKUP( $B36, Aop!$A$2:$P$456, 4, 1)</f>
        <v>516</v>
      </c>
      <c r="J36" s="153"/>
      <c r="K36" s="153"/>
      <c r="L36" s="154"/>
      <c r="P36" s="27"/>
    </row>
    <row r="37" spans="2:16" ht="12" customHeight="1">
      <c r="B37" s="49">
        <v>300</v>
      </c>
      <c r="C37" s="63" t="str">
        <f ca="1">VLOOKUP( $B37, Aop!$A$2:$P$456, 5, 1)</f>
        <v>2</v>
      </c>
      <c r="D37" s="686" t="str">
        <f ca="1">VLOOKUP( $B37, Aop!$A$2:$P$456, 6, 1)</f>
        <v xml:space="preserve">    Prilivi po osnovu prodaje nekretnina, postrojenja i opreme</v>
      </c>
      <c r="E37" s="686"/>
      <c r="F37" s="686"/>
      <c r="G37" s="686"/>
      <c r="H37" s="686"/>
      <c r="I37" s="75">
        <f ca="1">VLOOKUP( $B37, Aop!$A$2:$P$456, 4, 1)</f>
        <v>517</v>
      </c>
      <c r="J37" s="155"/>
      <c r="K37" s="157"/>
      <c r="L37" s="158"/>
      <c r="P37" s="27"/>
    </row>
    <row r="38" spans="2:16" ht="12" customHeight="1">
      <c r="B38" s="49">
        <v>301</v>
      </c>
      <c r="C38" s="60" t="str">
        <f ca="1">VLOOKUP( $B38, Aop!$A$2:$P$456, 5, 1)</f>
        <v>3</v>
      </c>
      <c r="D38" s="663" t="str">
        <f ca="1">VLOOKUP( $B38, Aop!$A$2:$P$456, 6, 1)</f>
        <v xml:space="preserve">    Prilivi po osnovu prodaje investicionih nekretnina</v>
      </c>
      <c r="E38" s="663"/>
      <c r="F38" s="663"/>
      <c r="G38" s="663"/>
      <c r="H38" s="663"/>
      <c r="I38" s="61">
        <f ca="1">VLOOKUP( $B38, Aop!$A$2:$P$456, 4, 1)</f>
        <v>518</v>
      </c>
      <c r="J38" s="153"/>
      <c r="K38" s="153"/>
      <c r="L38" s="154"/>
      <c r="P38" s="134" t="s">
        <v>2435</v>
      </c>
    </row>
    <row r="39" spans="2:16" ht="12" customHeight="1">
      <c r="B39" s="49">
        <v>302</v>
      </c>
      <c r="C39" s="63" t="str">
        <f ca="1">VLOOKUP( $B39, Aop!$A$2:$P$456, 5, 1)</f>
        <v>4</v>
      </c>
      <c r="D39" s="686" t="str">
        <f ca="1">VLOOKUP( $B39, Aop!$A$2:$P$456, 6, 1)</f>
        <v xml:space="preserve">    Prilivi po osnovu prodaje bioloških sredstava</v>
      </c>
      <c r="E39" s="686"/>
      <c r="F39" s="686"/>
      <c r="G39" s="686"/>
      <c r="H39" s="686"/>
      <c r="I39" s="75">
        <f ca="1">VLOOKUP( $B39, Aop!$A$2:$P$456, 4, 1)</f>
        <v>519</v>
      </c>
      <c r="J39" s="155"/>
      <c r="K39" s="157"/>
      <c r="L39" s="158"/>
      <c r="P39" s="27"/>
    </row>
    <row r="40" spans="2:16" ht="12" customHeight="1">
      <c r="B40" s="49">
        <v>303</v>
      </c>
      <c r="C40" s="60" t="str">
        <f ca="1">VLOOKUP( $B40, Aop!$A$2:$P$456, 5, 1)</f>
        <v>5</v>
      </c>
      <c r="D40" s="663" t="str">
        <f ca="1">VLOOKUP( $B40, Aop!$A$2:$P$456, 6, 1)</f>
        <v xml:space="preserve">    Prilivi po osnovu prodaje nematerijalnih sredstava</v>
      </c>
      <c r="E40" s="663"/>
      <c r="F40" s="663"/>
      <c r="G40" s="663"/>
      <c r="H40" s="663"/>
      <c r="I40" s="61">
        <f ca="1">VLOOKUP( $B40, Aop!$A$2:$P$456, 4, 1)</f>
        <v>520</v>
      </c>
      <c r="J40" s="153"/>
      <c r="K40" s="153"/>
      <c r="L40" s="154"/>
      <c r="P40" s="27"/>
    </row>
    <row r="41" spans="2:16" ht="12" customHeight="1">
      <c r="B41" s="49">
        <v>304</v>
      </c>
      <c r="C41" s="63" t="str">
        <f ca="1">VLOOKUP( $B41, Aop!$A$2:$P$456, 5, 1)</f>
        <v>6</v>
      </c>
      <c r="D41" s="686" t="str">
        <f ca="1">VLOOKUP( $B41, Aop!$A$2:$P$456, 6, 1)</f>
        <v xml:space="preserve">    Prilivi po osnovu prodaje stalnih sredstava namijenjenih prodaji</v>
      </c>
      <c r="E41" s="686"/>
      <c r="F41" s="686"/>
      <c r="G41" s="686"/>
      <c r="H41" s="686"/>
      <c r="I41" s="75">
        <f ca="1">VLOOKUP( $B41, Aop!$A$2:$P$456, 4, 1)</f>
        <v>521</v>
      </c>
      <c r="J41" s="155"/>
      <c r="K41" s="157"/>
      <c r="L41" s="158"/>
      <c r="P41" s="27"/>
    </row>
    <row r="42" spans="2:16" ht="12" customHeight="1">
      <c r="B42" s="49">
        <v>305</v>
      </c>
      <c r="C42" s="60" t="str">
        <f ca="1">VLOOKUP( $B42, Aop!$A$2:$P$456, 5, 1)</f>
        <v>7</v>
      </c>
      <c r="D42" s="663" t="str">
        <f ca="1">VLOOKUP( $B42, Aop!$A$2:$P$456, 6, 1)</f>
        <v xml:space="preserve">    Prilivi od finansijskih sredstava po fer vrijednosti kroz ostali ukupni rezultat</v>
      </c>
      <c r="E42" s="663"/>
      <c r="F42" s="663"/>
      <c r="G42" s="663"/>
      <c r="H42" s="663"/>
      <c r="I42" s="61">
        <f ca="1">VLOOKUP( $B42, Aop!$A$2:$P$456, 4, 1)</f>
        <v>522</v>
      </c>
      <c r="J42" s="153"/>
      <c r="K42" s="153"/>
      <c r="L42" s="154"/>
      <c r="P42" s="27"/>
    </row>
    <row r="43" spans="2:16" ht="12" customHeight="1">
      <c r="B43" s="49">
        <v>306</v>
      </c>
      <c r="C43" s="63" t="str">
        <f ca="1">VLOOKUP( $B43, Aop!$A$2:$P$456, 5, 1)</f>
        <v>8</v>
      </c>
      <c r="D43" s="686" t="str">
        <f ca="1">VLOOKUP( $B43, Aop!$A$2:$P$456, 6, 1)</f>
        <v xml:space="preserve">    Prilivi od finansijskih sredstva po fer vrijednosti kroz bilans uspjeha</v>
      </c>
      <c r="E43" s="686"/>
      <c r="F43" s="686"/>
      <c r="G43" s="686"/>
      <c r="H43" s="686"/>
      <c r="I43" s="75">
        <f ca="1">VLOOKUP( $B43, Aop!$A$2:$P$456, 4, 1)</f>
        <v>523</v>
      </c>
      <c r="J43" s="155"/>
      <c r="K43" s="157"/>
      <c r="L43" s="158"/>
      <c r="P43" s="27"/>
    </row>
    <row r="44" spans="2:16" ht="12" customHeight="1">
      <c r="B44" s="49">
        <v>307</v>
      </c>
      <c r="C44" s="60" t="str">
        <f ca="1">VLOOKUP( $B44, Aop!$A$2:$P$456, 5, 1)</f>
        <v>9</v>
      </c>
      <c r="D44" s="663" t="str">
        <f ca="1">VLOOKUP( $B44, Aop!$A$2:$P$456, 6, 1)</f>
        <v xml:space="preserve">    Prilivi od ostalih finansijskih sredstava po amortizovanoj vrijednosti</v>
      </c>
      <c r="E44" s="663"/>
      <c r="F44" s="663"/>
      <c r="G44" s="663"/>
      <c r="H44" s="663"/>
      <c r="I44" s="61">
        <f ca="1">VLOOKUP( $B44, Aop!$A$2:$P$456, 4, 1)</f>
        <v>524</v>
      </c>
      <c r="J44" s="153"/>
      <c r="K44" s="153"/>
      <c r="L44" s="154"/>
      <c r="P44" s="27"/>
    </row>
    <row r="45" spans="2:16" ht="12" customHeight="1">
      <c r="B45" s="49">
        <v>308</v>
      </c>
      <c r="C45" s="63" t="str">
        <f ca="1">VLOOKUP( $B45, Aop!$A$2:$P$456, 5, 1)</f>
        <v>10</v>
      </c>
      <c r="D45" s="686" t="str">
        <f ca="1">VLOOKUP( $B45, Aop!$A$2:$P$456, 6, 1)</f>
        <v xml:space="preserve">    Prilivi po osnovu lizinga (glavnica)</v>
      </c>
      <c r="E45" s="686"/>
      <c r="F45" s="686"/>
      <c r="G45" s="686"/>
      <c r="H45" s="686"/>
      <c r="I45" s="75">
        <f ca="1">VLOOKUP( $B45, Aop!$A$2:$P$456, 4, 1)</f>
        <v>525</v>
      </c>
      <c r="J45" s="155"/>
      <c r="K45" s="157"/>
      <c r="L45" s="158"/>
      <c r="P45" s="134" t="s">
        <v>2435</v>
      </c>
    </row>
    <row r="46" spans="2:16" ht="12" customHeight="1">
      <c r="B46" s="49">
        <v>309</v>
      </c>
      <c r="C46" s="60" t="str">
        <f ca="1">VLOOKUP( $B46, Aop!$A$2:$P$456, 5, 1)</f>
        <v>11</v>
      </c>
      <c r="D46" s="663" t="str">
        <f ca="1">VLOOKUP( $B46, Aop!$A$2:$P$456, 6, 1)</f>
        <v xml:space="preserve">    Prilivi po osnovu lizinga (kamata)</v>
      </c>
      <c r="E46" s="663"/>
      <c r="F46" s="663"/>
      <c r="G46" s="663"/>
      <c r="H46" s="663"/>
      <c r="I46" s="61">
        <f ca="1">VLOOKUP( $B46, Aop!$A$2:$P$456, 4, 1)</f>
        <v>526</v>
      </c>
      <c r="J46" s="153"/>
      <c r="K46" s="153"/>
      <c r="L46" s="154"/>
      <c r="P46" s="27"/>
    </row>
    <row r="47" spans="2:16" ht="12" customHeight="1">
      <c r="B47" s="49">
        <v>310</v>
      </c>
      <c r="C47" s="63" t="str">
        <f ca="1">VLOOKUP( $B47, Aop!$A$2:$P$456, 5, 1)</f>
        <v>12</v>
      </c>
      <c r="D47" s="686" t="str">
        <f ca="1">VLOOKUP( $B47, Aop!$A$2:$P$456, 6, 1)</f>
        <v xml:space="preserve">    Prilivi po osnovu kamata</v>
      </c>
      <c r="E47" s="686"/>
      <c r="F47" s="686"/>
      <c r="G47" s="686"/>
      <c r="H47" s="686"/>
      <c r="I47" s="75">
        <f ca="1">VLOOKUP( $B47, Aop!$A$2:$P$456, 4, 1)</f>
        <v>527</v>
      </c>
      <c r="J47" s="155"/>
      <c r="K47" s="157"/>
      <c r="L47" s="158"/>
      <c r="P47" s="27"/>
    </row>
    <row r="48" spans="2:16" ht="12" customHeight="1">
      <c r="B48" s="49">
        <v>311</v>
      </c>
      <c r="C48" s="60" t="str">
        <f ca="1">VLOOKUP( $B48, Aop!$A$2:$P$456, 5, 1)</f>
        <v>13</v>
      </c>
      <c r="D48" s="663" t="str">
        <f ca="1">VLOOKUP( $B48, Aop!$A$2:$P$456, 6, 1)</f>
        <v xml:space="preserve">    Prilivi od dividendi i učešća u dobiti</v>
      </c>
      <c r="E48" s="663"/>
      <c r="F48" s="663"/>
      <c r="G48" s="663"/>
      <c r="H48" s="663"/>
      <c r="I48" s="61">
        <f ca="1">VLOOKUP( $B48, Aop!$A$2:$P$456, 4, 1)</f>
        <v>528</v>
      </c>
      <c r="J48" s="153"/>
      <c r="K48" s="153">
        <v>17085001</v>
      </c>
      <c r="L48" s="154"/>
      <c r="P48" s="27"/>
    </row>
    <row r="49" spans="2:16" ht="12" customHeight="1">
      <c r="B49" s="49">
        <v>312</v>
      </c>
      <c r="C49" s="63" t="str">
        <f ca="1">VLOOKUP( $B49, Aop!$A$2:$P$456, 5, 1)</f>
        <v>14</v>
      </c>
      <c r="D49" s="686" t="str">
        <f ca="1">VLOOKUP( $B49, Aop!$A$2:$P$456, 6, 1)</f>
        <v xml:space="preserve">    Prilivi po osnovu derivatnih finansijskih instrumenata</v>
      </c>
      <c r="E49" s="686"/>
      <c r="F49" s="686"/>
      <c r="G49" s="686"/>
      <c r="H49" s="686"/>
      <c r="I49" s="75">
        <f ca="1">VLOOKUP( $B49, Aop!$A$2:$P$456, 4, 1)</f>
        <v>529</v>
      </c>
      <c r="J49" s="155"/>
      <c r="K49" s="157"/>
      <c r="L49" s="158"/>
      <c r="P49" s="27"/>
    </row>
    <row r="50" spans="2:16" ht="12" customHeight="1">
      <c r="B50" s="49">
        <v>313</v>
      </c>
      <c r="C50" s="60" t="str">
        <f ca="1">VLOOKUP( $B50, Aop!$A$2:$P$456, 5, 1)</f>
        <v>15</v>
      </c>
      <c r="D50" s="663" t="str">
        <f ca="1">VLOOKUP( $B50, Aop!$A$2:$P$456, 6, 1)</f>
        <v xml:space="preserve">    Ostali prilivi iz aktivnosti investiranja</v>
      </c>
      <c r="E50" s="663"/>
      <c r="F50" s="663"/>
      <c r="G50" s="663"/>
      <c r="H50" s="663"/>
      <c r="I50" s="61">
        <f ca="1">VLOOKUP( $B50, Aop!$A$2:$P$456, 4, 1)</f>
        <v>530</v>
      </c>
      <c r="J50" s="153"/>
      <c r="K50" s="153"/>
      <c r="L50" s="154"/>
      <c r="P50" s="27"/>
    </row>
    <row r="51" spans="2:16" ht="12" customHeight="1">
      <c r="B51" s="49">
        <v>314</v>
      </c>
      <c r="C51" s="63" t="str">
        <f ca="1">VLOOKUP( $B51, Aop!$A$2:$P$456, 5, 1)</f>
        <v>II</v>
      </c>
      <c r="D51" s="688" t="str">
        <f ca="1">VLOOKUP( $B51, Aop!$A$2:$P$456, 6, 1)</f>
        <v xml:space="preserve">  Odlivi gotovine iz aktivnosti investiranja (532 do 541)</v>
      </c>
      <c r="E51" s="688"/>
      <c r="F51" s="688"/>
      <c r="G51" s="688"/>
      <c r="H51" s="688"/>
      <c r="I51" s="188">
        <f ca="1">VLOOKUP( $B51, Aop!$A$2:$P$456, 4, 1)</f>
        <v>531</v>
      </c>
      <c r="J51" s="155"/>
      <c r="K51" s="32">
        <f>SUBTOTAL( 9, K52:K61)</f>
        <v>349062</v>
      </c>
      <c r="L51" s="65">
        <f>SUBTOTAL( 9, L52:L61)</f>
        <v>0</v>
      </c>
      <c r="P51" s="27"/>
    </row>
    <row r="52" spans="2:16" ht="23.25" customHeight="1">
      <c r="B52" s="49">
        <v>315</v>
      </c>
      <c r="C52" s="60" t="str">
        <f ca="1">VLOOKUP( $B52, Aop!$A$2:$P$456, 5, 1)</f>
        <v>1</v>
      </c>
      <c r="D52" s="663" t="str">
        <f ca="1">VLOOKUP( $B52, Aop!$A$2:$P$456, 6, 1)</f>
        <v xml:space="preserve">    Odlivi gotovine po osnovu kupovine akcija i udjela zavisnih i pridruženih društava i zajedničkih poduhvata</v>
      </c>
      <c r="E52" s="663"/>
      <c r="F52" s="663"/>
      <c r="G52" s="663"/>
      <c r="H52" s="663"/>
      <c r="I52" s="61">
        <f ca="1">VLOOKUP( $B52, Aop!$A$2:$P$456, 4, 1)</f>
        <v>532</v>
      </c>
      <c r="J52" s="153"/>
      <c r="K52" s="153"/>
      <c r="L52" s="154"/>
      <c r="P52" s="27"/>
    </row>
    <row r="53" spans="2:16" ht="12" customHeight="1">
      <c r="B53" s="49">
        <v>316</v>
      </c>
      <c r="C53" s="63" t="str">
        <f ca="1">VLOOKUP( $B53, Aop!$A$2:$P$456, 5, 1)</f>
        <v>2</v>
      </c>
      <c r="D53" s="686" t="str">
        <f ca="1">VLOOKUP( $B53, Aop!$A$2:$P$456, 6, 1)</f>
        <v xml:space="preserve">    Odlivi po osnovu kupovine nekretnina, postrojenja i opreme</v>
      </c>
      <c r="E53" s="686"/>
      <c r="F53" s="686"/>
      <c r="G53" s="686"/>
      <c r="H53" s="686"/>
      <c r="I53" s="75">
        <f ca="1">VLOOKUP( $B53, Aop!$A$2:$P$456, 4, 1)</f>
        <v>533</v>
      </c>
      <c r="J53" s="155"/>
      <c r="K53" s="157"/>
      <c r="L53" s="158"/>
      <c r="P53" s="27"/>
    </row>
    <row r="54" spans="2:16" ht="12" customHeight="1">
      <c r="B54" s="49">
        <v>317</v>
      </c>
      <c r="C54" s="60" t="str">
        <f ca="1">VLOOKUP( $B54, Aop!$A$2:$P$456, 5, 1)</f>
        <v>3</v>
      </c>
      <c r="D54" s="663" t="str">
        <f ca="1">VLOOKUP( $B54, Aop!$A$2:$P$456, 6, 1)</f>
        <v xml:space="preserve">    Odlivi po osnovu kupovine investicionih nekretnina</v>
      </c>
      <c r="E54" s="663"/>
      <c r="F54" s="663"/>
      <c r="G54" s="663"/>
      <c r="H54" s="663"/>
      <c r="I54" s="61">
        <f ca="1">VLOOKUP( $B54, Aop!$A$2:$P$456, 4, 1)</f>
        <v>534</v>
      </c>
      <c r="J54" s="153"/>
      <c r="K54" s="153"/>
      <c r="L54" s="154"/>
      <c r="P54" s="27"/>
    </row>
    <row r="55" spans="2:16" ht="12" customHeight="1">
      <c r="B55" s="49">
        <v>318</v>
      </c>
      <c r="C55" s="63" t="str">
        <f ca="1">VLOOKUP( $B55, Aop!$A$2:$P$456, 5, 1)</f>
        <v>4</v>
      </c>
      <c r="D55" s="686" t="str">
        <f ca="1">VLOOKUP( $B55, Aop!$A$2:$P$456, 6, 1)</f>
        <v xml:space="preserve">    Odlivi po osnovu kupovine bioloških sredstava</v>
      </c>
      <c r="E55" s="686"/>
      <c r="F55" s="686"/>
      <c r="G55" s="686"/>
      <c r="H55" s="686"/>
      <c r="I55" s="75">
        <f ca="1">VLOOKUP( $B55, Aop!$A$2:$P$456, 4, 1)</f>
        <v>535</v>
      </c>
      <c r="J55" s="155"/>
      <c r="K55" s="157"/>
      <c r="L55" s="158"/>
      <c r="P55" s="27"/>
    </row>
    <row r="56" spans="2:16" ht="12" customHeight="1">
      <c r="B56" s="49">
        <v>319</v>
      </c>
      <c r="C56" s="60" t="str">
        <f ca="1">VLOOKUP( $B56, Aop!$A$2:$P$456, 5, 1)</f>
        <v>5</v>
      </c>
      <c r="D56" s="663" t="str">
        <f ca="1">VLOOKUP( $B56, Aop!$A$2:$P$456, 6, 1)</f>
        <v xml:space="preserve">    Odlivi po osnovu kupovine nematerijalnih sredstava</v>
      </c>
      <c r="E56" s="663"/>
      <c r="F56" s="663"/>
      <c r="G56" s="663"/>
      <c r="H56" s="663"/>
      <c r="I56" s="61">
        <f ca="1">VLOOKUP( $B56, Aop!$A$2:$P$456, 4, 1)</f>
        <v>536</v>
      </c>
      <c r="J56" s="153"/>
      <c r="K56" s="153"/>
      <c r="L56" s="154"/>
      <c r="P56" s="27"/>
    </row>
    <row r="57" spans="2:16" ht="12" customHeight="1">
      <c r="B57" s="49">
        <v>320</v>
      </c>
      <c r="C57" s="63" t="str">
        <f ca="1">VLOOKUP( $B57, Aop!$A$2:$P$456, 5, 1)</f>
        <v>6</v>
      </c>
      <c r="D57" s="686" t="str">
        <f ca="1">VLOOKUP( $B57, Aop!$A$2:$P$456, 6, 1)</f>
        <v xml:space="preserve">    Odlivi po osnovu finansijskih sredstava po fer vrijednosti kroz ostali ukupni rezultat</v>
      </c>
      <c r="E57" s="686"/>
      <c r="F57" s="686"/>
      <c r="G57" s="686"/>
      <c r="H57" s="686"/>
      <c r="I57" s="75">
        <f ca="1">VLOOKUP( $B57, Aop!$A$2:$P$456, 4, 1)</f>
        <v>537</v>
      </c>
      <c r="J57" s="155"/>
      <c r="K57" s="157"/>
      <c r="L57" s="158"/>
      <c r="P57" s="27"/>
    </row>
    <row r="58" spans="2:16" ht="12" customHeight="1">
      <c r="B58" s="49">
        <v>321</v>
      </c>
      <c r="C58" s="60" t="str">
        <f ca="1">VLOOKUP( $B58, Aop!$A$2:$P$456, 5, 1)</f>
        <v>7</v>
      </c>
      <c r="D58" s="663" t="str">
        <f ca="1">VLOOKUP( $B58, Aop!$A$2:$P$456, 6, 1)</f>
        <v xml:space="preserve">    Odlivi po osnovu finansijskih sredstva po fer vrijednosti kroz bilans uspjeha</v>
      </c>
      <c r="E58" s="663"/>
      <c r="F58" s="663"/>
      <c r="G58" s="663"/>
      <c r="H58" s="663"/>
      <c r="I58" s="61">
        <f ca="1">VLOOKUP( $B58, Aop!$A$2:$P$456, 4, 1)</f>
        <v>538</v>
      </c>
      <c r="J58" s="153"/>
      <c r="K58" s="153"/>
      <c r="L58" s="154"/>
      <c r="P58" s="27"/>
    </row>
    <row r="59" spans="2:16" ht="12" customHeight="1">
      <c r="B59" s="49">
        <v>322</v>
      </c>
      <c r="C59" s="63" t="str">
        <f ca="1">VLOOKUP( $B59, Aop!$A$2:$P$456, 5, 1)</f>
        <v>8</v>
      </c>
      <c r="D59" s="686" t="str">
        <f ca="1">VLOOKUP( $B59, Aop!$A$2:$P$456, 6, 1)</f>
        <v xml:space="preserve">    Odlivi po osnovu ostalih finansijskih sredstava po amortizovanoj vrijednosti</v>
      </c>
      <c r="E59" s="686"/>
      <c r="F59" s="686"/>
      <c r="G59" s="686"/>
      <c r="H59" s="686"/>
      <c r="I59" s="75">
        <f ca="1">VLOOKUP( $B59, Aop!$A$2:$P$456, 4, 1)</f>
        <v>539</v>
      </c>
      <c r="J59" s="155"/>
      <c r="K59" s="157"/>
      <c r="L59" s="158"/>
      <c r="P59" s="27"/>
    </row>
    <row r="60" spans="2:16" ht="12" customHeight="1">
      <c r="B60" s="49">
        <v>323</v>
      </c>
      <c r="C60" s="60" t="str">
        <f ca="1">VLOOKUP( $B60, Aop!$A$2:$P$456, 5, 1)</f>
        <v>9</v>
      </c>
      <c r="D60" s="663" t="str">
        <f ca="1">VLOOKUP( $B60, Aop!$A$2:$P$456, 6, 1)</f>
        <v xml:space="preserve">    Odlivi po osnovu derivatnih finansijskih instrumenata</v>
      </c>
      <c r="E60" s="663"/>
      <c r="F60" s="663"/>
      <c r="G60" s="663"/>
      <c r="H60" s="663"/>
      <c r="I60" s="61">
        <f ca="1">VLOOKUP( $B60, Aop!$A$2:$P$456, 4, 1)</f>
        <v>540</v>
      </c>
      <c r="J60" s="153"/>
      <c r="K60" s="153"/>
      <c r="L60" s="154"/>
      <c r="P60" s="27"/>
    </row>
    <row r="61" spans="2:16" ht="12" customHeight="1">
      <c r="B61" s="49">
        <v>324</v>
      </c>
      <c r="C61" s="63" t="str">
        <f ca="1">VLOOKUP( $B61, Aop!$A$2:$P$456, 5, 1)</f>
        <v>10</v>
      </c>
      <c r="D61" s="686" t="str">
        <f ca="1">VLOOKUP( $B61, Aop!$A$2:$P$456, 6, 1)</f>
        <v xml:space="preserve">    Ostali odlivi iz aktivnosti investiranja</v>
      </c>
      <c r="E61" s="686"/>
      <c r="F61" s="686"/>
      <c r="G61" s="686"/>
      <c r="H61" s="686"/>
      <c r="I61" s="75">
        <f ca="1">VLOOKUP( $B61, Aop!$A$2:$P$456, 4, 1)</f>
        <v>541</v>
      </c>
      <c r="J61" s="155"/>
      <c r="K61" s="157">
        <v>349062</v>
      </c>
      <c r="L61" s="158"/>
      <c r="P61" s="27"/>
    </row>
    <row r="62" spans="2:16">
      <c r="B62" s="49">
        <v>325</v>
      </c>
      <c r="C62" s="60" t="str">
        <f ca="1">VLOOKUP( $B62, Aop!$A$2:$P$456, 5, 1)</f>
        <v>III</v>
      </c>
      <c r="D62" s="668" t="str">
        <f ca="1">VLOOKUP( $B62, Aop!$A$2:$P$456, 6, 1)</f>
        <v xml:space="preserve">  Neto priliv gotovine iz aktivnosti investiranja (515-531)</v>
      </c>
      <c r="E62" s="668"/>
      <c r="F62" s="668"/>
      <c r="G62" s="668"/>
      <c r="H62" s="668"/>
      <c r="I62" s="169">
        <f ca="1">VLOOKUP( $B62, Aop!$A$2:$P$456, 4, 1)</f>
        <v>542</v>
      </c>
      <c r="J62" s="153"/>
      <c r="K62" s="31">
        <f>IF( SUBTOTAL( 9, K35:K50) - SUBTOTAL( 9, K51:K61) &lt;= 0, 0, ABS( SUBTOTAL( 9, K35:K50) - SUBTOTAL( 9, K51:K61)) )</f>
        <v>16735939</v>
      </c>
      <c r="L62" s="62">
        <f>IF( SUBTOTAL( 9, L35:L50) - SUBTOTAL( 9, L51:L61) &lt;= 0, 0, ABS( SUBTOTAL( 9, L35:L50) - SUBTOTAL( 9, L51:L61)) )</f>
        <v>0</v>
      </c>
      <c r="P62" s="27"/>
    </row>
    <row r="63" spans="2:16">
      <c r="B63" s="49">
        <v>326</v>
      </c>
      <c r="C63" s="63" t="str">
        <f ca="1">VLOOKUP( $B63, Aop!$A$2:$P$456, 5, 1)</f>
        <v>IV</v>
      </c>
      <c r="D63" s="688" t="str">
        <f ca="1">VLOOKUP( $B63, Aop!$A$2:$P$456, 6, 1)</f>
        <v xml:space="preserve">  Neto odliv gotovine iz aktivnosti investiranja (531 – 515)</v>
      </c>
      <c r="E63" s="688"/>
      <c r="F63" s="688"/>
      <c r="G63" s="688"/>
      <c r="H63" s="688"/>
      <c r="I63" s="188">
        <f ca="1">VLOOKUP( $B63, Aop!$A$2:$P$456, 4, 1)</f>
        <v>543</v>
      </c>
      <c r="J63" s="155"/>
      <c r="K63" s="67">
        <f>IF( SUBTOTAL( 9, K35:K50) - SUBTOTAL( 9, K51:K61) &gt;= 0, 0, ABS( SUBTOTAL( 9, K35:K50) - SUBTOTAL( 9, K51:K61)) )</f>
        <v>0</v>
      </c>
      <c r="L63" s="68">
        <f>IF( SUBTOTAL( 9, L35:L50) - SUBTOTAL( 9, L51:L61) &gt;= 0, 0, ABS( SUBTOTAL( 9, L35:L50) - SUBTOTAL( 9, L51:L61)) )</f>
        <v>0</v>
      </c>
      <c r="P63" s="27"/>
    </row>
    <row r="64" spans="2:16" ht="22.5" customHeight="1">
      <c r="B64" s="49">
        <v>327</v>
      </c>
      <c r="C64" s="60" t="str">
        <f ca="1">VLOOKUP( $B64, Aop!$A$2:$P$456, 5, 1)</f>
        <v>B_x000D_
I</v>
      </c>
      <c r="D64" s="668" t="str">
        <f ca="1">VLOOKUP( $B64, Aop!$A$2:$P$456, 6, 1)</f>
        <v>TOKOVI GOTOVINE IZ AKTIVNOSTI FINANSIRANJA
Prilivi gotovine iz aktivnosti finansiranja (545 do 550)</v>
      </c>
      <c r="E64" s="668"/>
      <c r="F64" s="668"/>
      <c r="G64" s="668"/>
      <c r="H64" s="668"/>
      <c r="I64" s="169">
        <f ca="1">VLOOKUP( $B64, Aop!$A$2:$P$456, 4, 1)</f>
        <v>544</v>
      </c>
      <c r="J64" s="153"/>
      <c r="K64" s="31">
        <f>SUBTOTAL( 9, K65:K70)</f>
        <v>15649283</v>
      </c>
      <c r="L64" s="62">
        <f>SUBTOTAL( 9, L65:L70)</f>
        <v>500000</v>
      </c>
      <c r="P64" s="27"/>
    </row>
    <row r="65" spans="2:16" ht="12" customHeight="1">
      <c r="B65" s="49">
        <v>328</v>
      </c>
      <c r="C65" s="63" t="str">
        <f ca="1">VLOOKUP( $B65, Aop!$A$2:$P$456, 5, 1)</f>
        <v>1</v>
      </c>
      <c r="D65" s="686" t="str">
        <f ca="1">VLOOKUP( $B65, Aop!$A$2:$P$456, 6, 1)</f>
        <v xml:space="preserve">    Prilivi po osnovu povećanja osnovnog kapitala</v>
      </c>
      <c r="E65" s="686"/>
      <c r="F65" s="686"/>
      <c r="G65" s="686"/>
      <c r="H65" s="686"/>
      <c r="I65" s="75">
        <f ca="1">VLOOKUP( $B65, Aop!$A$2:$P$456, 4, 1)</f>
        <v>545</v>
      </c>
      <c r="J65" s="155"/>
      <c r="K65" s="157"/>
      <c r="L65" s="158"/>
      <c r="P65" s="27"/>
    </row>
    <row r="66" spans="2:16" ht="12" customHeight="1">
      <c r="B66" s="49">
        <v>329</v>
      </c>
      <c r="C66" s="60" t="str">
        <f ca="1">VLOOKUP( $B66, Aop!$A$2:$P$456, 5, 1)</f>
        <v>2</v>
      </c>
      <c r="D66" s="663" t="str">
        <f ca="1">VLOOKUP( $B66, Aop!$A$2:$P$456, 6, 1)</f>
        <v xml:space="preserve">    Prilivi od prodaje otkupljenih sopstvenih akcija</v>
      </c>
      <c r="E66" s="663"/>
      <c r="F66" s="663"/>
      <c r="G66" s="663"/>
      <c r="H66" s="663"/>
      <c r="I66" s="61">
        <f ca="1">VLOOKUP( $B66, Aop!$A$2:$P$456, 4, 1)</f>
        <v>546</v>
      </c>
      <c r="J66" s="153"/>
      <c r="K66" s="153"/>
      <c r="L66" s="154"/>
      <c r="P66" s="27"/>
    </row>
    <row r="67" spans="2:16" ht="12" customHeight="1">
      <c r="B67" s="49">
        <v>330</v>
      </c>
      <c r="C67" s="63" t="str">
        <f ca="1">VLOOKUP( $B67, Aop!$A$2:$P$456, 5, 1)</f>
        <v>3</v>
      </c>
      <c r="D67" s="686" t="str">
        <f ca="1">VLOOKUP( $B67, Aop!$A$2:$P$456, 6, 1)</f>
        <v xml:space="preserve">    Prilivi po osnovu dugoročnih kredita</v>
      </c>
      <c r="E67" s="686"/>
      <c r="F67" s="686"/>
      <c r="G67" s="686"/>
      <c r="H67" s="686"/>
      <c r="I67" s="75">
        <f ca="1">VLOOKUP( $B67, Aop!$A$2:$P$456, 4, 1)</f>
        <v>547</v>
      </c>
      <c r="J67" s="155"/>
      <c r="K67" s="157"/>
      <c r="L67" s="158"/>
      <c r="P67" s="27"/>
    </row>
    <row r="68" spans="2:16" ht="12" customHeight="1">
      <c r="B68" s="49">
        <v>331</v>
      </c>
      <c r="C68" s="60" t="str">
        <f ca="1">VLOOKUP( $B68, Aop!$A$2:$P$456, 5, 1)</f>
        <v>4</v>
      </c>
      <c r="D68" s="663" t="str">
        <f ca="1">VLOOKUP( $B68, Aop!$A$2:$P$456, 6, 1)</f>
        <v xml:space="preserve">    Prilivi po osnovu kratkoročnih kredita</v>
      </c>
      <c r="E68" s="663"/>
      <c r="F68" s="663"/>
      <c r="G68" s="663"/>
      <c r="H68" s="663"/>
      <c r="I68" s="61">
        <f ca="1">VLOOKUP( $B68, Aop!$A$2:$P$456, 4, 1)</f>
        <v>548</v>
      </c>
      <c r="J68" s="153"/>
      <c r="K68" s="153"/>
      <c r="L68" s="154"/>
      <c r="P68" s="27"/>
    </row>
    <row r="69" spans="2:16" ht="12" customHeight="1">
      <c r="B69" s="49">
        <v>332</v>
      </c>
      <c r="C69" s="66" t="str">
        <f ca="1">VLOOKUP( $B69, Aop!$A$2:$P$456, 5, 1)</f>
        <v>5</v>
      </c>
      <c r="D69" s="686" t="str">
        <f ca="1">VLOOKUP( $B69, Aop!$A$2:$P$456, 6, 1)</f>
        <v xml:space="preserve">    Prilivi po osnovu izdatih dužničkih instrumenta</v>
      </c>
      <c r="E69" s="686"/>
      <c r="F69" s="686"/>
      <c r="G69" s="686"/>
      <c r="H69" s="686"/>
      <c r="I69" s="75">
        <f ca="1">VLOOKUP( $B69, Aop!$A$2:$P$456, 4, 1)</f>
        <v>549</v>
      </c>
      <c r="J69" s="155"/>
      <c r="K69" s="157"/>
      <c r="L69" s="158"/>
      <c r="P69" s="27"/>
    </row>
    <row r="70" spans="2:16" ht="12" customHeight="1">
      <c r="B70" s="49">
        <v>333</v>
      </c>
      <c r="C70" s="60" t="str">
        <f ca="1">VLOOKUP( $B70, Aop!$A$2:$P$456, 5, 1)</f>
        <v>6</v>
      </c>
      <c r="D70" s="663" t="str">
        <f ca="1">VLOOKUP( $B70, Aop!$A$2:$P$456, 6, 1)</f>
        <v xml:space="preserve">    Ostali prilivi iz aktivnosti finansiranja </v>
      </c>
      <c r="E70" s="663"/>
      <c r="F70" s="663"/>
      <c r="G70" s="663"/>
      <c r="H70" s="663"/>
      <c r="I70" s="61">
        <f ca="1">VLOOKUP( $B70, Aop!$A$2:$P$456, 4, 1)</f>
        <v>550</v>
      </c>
      <c r="J70" s="153"/>
      <c r="K70" s="153">
        <v>15649283</v>
      </c>
      <c r="L70" s="154">
        <v>500000</v>
      </c>
      <c r="P70" s="27"/>
    </row>
    <row r="71" spans="2:16" ht="12" customHeight="1">
      <c r="B71" s="49">
        <v>334</v>
      </c>
      <c r="C71" s="66" t="str">
        <f ca="1">VLOOKUP( $B71, Aop!$A$2:$P$456, 5, 1)</f>
        <v>II</v>
      </c>
      <c r="D71" s="686" t="str">
        <f ca="1">VLOOKUP( $B71, Aop!$A$2:$P$456, 6, 1)</f>
        <v xml:space="preserve">    Odlivi gotovine iz aktivnosti finansiranja (552 do 558)</v>
      </c>
      <c r="E71" s="686"/>
      <c r="F71" s="686"/>
      <c r="G71" s="686"/>
      <c r="H71" s="686"/>
      <c r="I71" s="75">
        <f ca="1">VLOOKUP( $B71, Aop!$A$2:$P$456, 4, 1)</f>
        <v>551</v>
      </c>
      <c r="J71" s="155"/>
      <c r="K71" s="486">
        <f>SUBTOTAL( 9, K72:K78)</f>
        <v>15059913</v>
      </c>
      <c r="L71" s="492">
        <f>SUBTOTAL( 9, L72:L78)</f>
        <v>0</v>
      </c>
      <c r="P71" s="27"/>
    </row>
    <row r="72" spans="2:16" ht="12" customHeight="1">
      <c r="B72" s="49">
        <v>335</v>
      </c>
      <c r="C72" s="60" t="str">
        <f ca="1">VLOOKUP( $B72, Aop!$A$2:$P$456, 5, 1)</f>
        <v>1</v>
      </c>
      <c r="D72" s="663" t="str">
        <f ca="1">VLOOKUP( $B72, Aop!$A$2:$P$456, 6, 1)</f>
        <v xml:space="preserve">    Odlivi po osnovu otkupa sopstvenih akcija i udjela</v>
      </c>
      <c r="E72" s="663"/>
      <c r="F72" s="663"/>
      <c r="G72" s="663"/>
      <c r="H72" s="663"/>
      <c r="I72" s="61">
        <f ca="1">VLOOKUP( $B72, Aop!$A$2:$P$456, 4, 1)</f>
        <v>552</v>
      </c>
      <c r="J72" s="153"/>
      <c r="K72" s="153"/>
      <c r="L72" s="154"/>
      <c r="P72" s="27"/>
    </row>
    <row r="73" spans="2:16" ht="12" customHeight="1">
      <c r="B73" s="49">
        <v>336</v>
      </c>
      <c r="C73" s="66" t="str">
        <f ca="1">VLOOKUP( $B73, Aop!$A$2:$P$456, 5, 1)</f>
        <v>2</v>
      </c>
      <c r="D73" s="686" t="str">
        <f ca="1">VLOOKUP( $B73, Aop!$A$2:$P$456, 6, 1)</f>
        <v xml:space="preserve">    Odlivi po osnovu dugoročnih kredita </v>
      </c>
      <c r="E73" s="686"/>
      <c r="F73" s="686"/>
      <c r="G73" s="686"/>
      <c r="H73" s="686"/>
      <c r="I73" s="75">
        <f ca="1">VLOOKUP( $B73, Aop!$A$2:$P$456, 4, 1)</f>
        <v>553</v>
      </c>
      <c r="J73" s="155"/>
      <c r="K73" s="157"/>
      <c r="L73" s="158"/>
      <c r="P73" s="27"/>
    </row>
    <row r="74" spans="2:16" ht="12" customHeight="1">
      <c r="B74" s="49">
        <v>337</v>
      </c>
      <c r="C74" s="60" t="str">
        <f ca="1">VLOOKUP( $B74, Aop!$A$2:$P$456, 5, 1)</f>
        <v>3</v>
      </c>
      <c r="D74" s="663" t="str">
        <f ca="1">VLOOKUP( $B74, Aop!$A$2:$P$456, 6, 1)</f>
        <v xml:space="preserve">    Odlivi po osnovu kratkoročnih kredita </v>
      </c>
      <c r="E74" s="663"/>
      <c r="F74" s="663"/>
      <c r="G74" s="663"/>
      <c r="H74" s="663"/>
      <c r="I74" s="61">
        <f ca="1">VLOOKUP( $B74, Aop!$A$2:$P$456, 4, 1)</f>
        <v>554</v>
      </c>
      <c r="J74" s="153"/>
      <c r="K74" s="153"/>
      <c r="L74" s="154"/>
      <c r="P74" s="27"/>
    </row>
    <row r="75" spans="2:16" ht="12" customHeight="1">
      <c r="B75" s="49">
        <v>338</v>
      </c>
      <c r="C75" s="66" t="str">
        <f ca="1">VLOOKUP( $B75, Aop!$A$2:$P$456, 5, 1)</f>
        <v>4</v>
      </c>
      <c r="D75" s="686" t="str">
        <f ca="1">VLOOKUP( $B75, Aop!$A$2:$P$456, 6, 1)</f>
        <v xml:space="preserve">    Odlivi po osnovu lizinga </v>
      </c>
      <c r="E75" s="686"/>
      <c r="F75" s="686"/>
      <c r="G75" s="686"/>
      <c r="H75" s="686"/>
      <c r="I75" s="75">
        <f ca="1">VLOOKUP( $B75, Aop!$A$2:$P$456, 4, 1)</f>
        <v>555</v>
      </c>
      <c r="J75" s="155"/>
      <c r="K75" s="157"/>
      <c r="L75" s="158"/>
      <c r="P75" s="27"/>
    </row>
    <row r="76" spans="2:16" ht="12" customHeight="1">
      <c r="B76" s="49">
        <v>339</v>
      </c>
      <c r="C76" s="60" t="str">
        <f ca="1">VLOOKUP( $B76, Aop!$A$2:$P$456, 5, 1)</f>
        <v>5</v>
      </c>
      <c r="D76" s="663" t="str">
        <f ca="1">VLOOKUP( $B76, Aop!$A$2:$P$456, 6, 1)</f>
        <v xml:space="preserve">    Odlivi po osnovu dužničkih instrumenata</v>
      </c>
      <c r="E76" s="663"/>
      <c r="F76" s="663"/>
      <c r="G76" s="663"/>
      <c r="H76" s="663"/>
      <c r="I76" s="61">
        <f ca="1">VLOOKUP( $B76, Aop!$A$2:$P$456, 4, 1)</f>
        <v>556</v>
      </c>
      <c r="J76" s="153"/>
      <c r="K76" s="153"/>
      <c r="L76" s="154"/>
      <c r="P76" s="27"/>
    </row>
    <row r="77" spans="2:16" ht="12" customHeight="1">
      <c r="B77" s="49">
        <v>340</v>
      </c>
      <c r="C77" s="66" t="str">
        <f ca="1">VLOOKUP( $B77, Aop!$A$2:$P$456, 5, 1)</f>
        <v>6</v>
      </c>
      <c r="D77" s="686" t="str">
        <f ca="1">VLOOKUP( $B77, Aop!$A$2:$P$456, 6, 1)</f>
        <v xml:space="preserve">    Odlivi po osnovu isplaćenih dividendi</v>
      </c>
      <c r="E77" s="686"/>
      <c r="F77" s="686"/>
      <c r="G77" s="686"/>
      <c r="H77" s="686"/>
      <c r="I77" s="75">
        <f ca="1">VLOOKUP( $B77, Aop!$A$2:$P$456, 4, 1)</f>
        <v>557</v>
      </c>
      <c r="J77" s="155"/>
      <c r="K77" s="157">
        <v>14710851</v>
      </c>
      <c r="L77" s="158"/>
      <c r="P77" s="27"/>
    </row>
    <row r="78" spans="2:16" ht="12" customHeight="1">
      <c r="B78" s="49">
        <v>341</v>
      </c>
      <c r="C78" s="60" t="str">
        <f ca="1">VLOOKUP( $B78, Aop!$A$2:$P$456, 5, 1)</f>
        <v>7</v>
      </c>
      <c r="D78" s="663" t="str">
        <f ca="1">VLOOKUP( $B78, Aop!$A$2:$P$456, 6, 1)</f>
        <v xml:space="preserve">    Ostali odlivi iz aktivnosti finansiranja</v>
      </c>
      <c r="E78" s="663"/>
      <c r="F78" s="663"/>
      <c r="G78" s="663"/>
      <c r="H78" s="663"/>
      <c r="I78" s="61">
        <f ca="1">VLOOKUP( $B78, Aop!$A$2:$P$456, 4, 1)</f>
        <v>558</v>
      </c>
      <c r="J78" s="153"/>
      <c r="K78" s="153">
        <v>349062</v>
      </c>
      <c r="L78" s="154"/>
      <c r="P78" s="27"/>
    </row>
    <row r="79" spans="2:16" ht="12" customHeight="1">
      <c r="B79" s="49">
        <v>342</v>
      </c>
      <c r="C79" s="66" t="str">
        <f ca="1">VLOOKUP( $B79, Aop!$A$2:$P$456, 5, 1)</f>
        <v>III</v>
      </c>
      <c r="D79" s="688" t="str">
        <f ca="1">VLOOKUP( $B79, Aop!$A$2:$P$456, 6, 1)</f>
        <v xml:space="preserve">  Neto priliv gotovine iz aktivnosti finansiranja (544 – 551)</v>
      </c>
      <c r="E79" s="688"/>
      <c r="F79" s="688"/>
      <c r="G79" s="688"/>
      <c r="H79" s="688"/>
      <c r="I79" s="188">
        <f ca="1">VLOOKUP( $B79, Aop!$A$2:$P$456, 4, 1)</f>
        <v>559</v>
      </c>
      <c r="J79" s="155"/>
      <c r="K79" s="67">
        <f>IF( SUBTOTAL( 9, K64:K70) - SUBTOTAL( 9, K71:K78) &lt;= 0, 0, ABS( SUBTOTAL( 9, K64:K70) - SUBTOTAL( 9, K71:K78)) )</f>
        <v>589370</v>
      </c>
      <c r="L79" s="68">
        <f>IF( SUBTOTAL( 9, L64:L70) - SUBTOTAL( 9, L71:L78) &lt;= 0, 0, ABS( SUBTOTAL( 9, L64:L70) - SUBTOTAL( 9, L71:L78)) )</f>
        <v>500000</v>
      </c>
      <c r="P79" s="27"/>
    </row>
    <row r="80" spans="2:16" ht="12" customHeight="1">
      <c r="B80" s="49">
        <v>343</v>
      </c>
      <c r="C80" s="60" t="str">
        <f ca="1">VLOOKUP( $B80, Aop!$A$2:$P$456, 5, 1)</f>
        <v>IV</v>
      </c>
      <c r="D80" s="668" t="str">
        <f ca="1">VLOOKUP( $B80, Aop!$A$2:$P$456, 6, 1)</f>
        <v xml:space="preserve">  Neto odliv gotovine iz aktivnosti finansiranja (551 – 544) </v>
      </c>
      <c r="E80" s="668"/>
      <c r="F80" s="668"/>
      <c r="G80" s="668"/>
      <c r="H80" s="668"/>
      <c r="I80" s="169">
        <f ca="1">VLOOKUP( $B80, Aop!$A$2:$P$456, 4, 1)</f>
        <v>560</v>
      </c>
      <c r="J80" s="153"/>
      <c r="K80" s="31">
        <f>IF( SUBTOTAL( 9, K64:K70) - SUBTOTAL( 9, K71:K78) &gt;= 0, 0, ABS( SUBTOTAL( 9, K64:K70) - SUBTOTAL( 9, K71:K78)) )</f>
        <v>0</v>
      </c>
      <c r="L80" s="62">
        <f>IF( SUBTOTAL( 9, L64:L70) - SUBTOTAL( 9, L71:L78) &gt;= 0, 0, ABS( SUBTOTAL( 9, L64:L70) - SUBTOTAL( 9, L71:L78)) )</f>
        <v>0</v>
      </c>
      <c r="P80" s="27"/>
    </row>
    <row r="81" spans="2:16" ht="12.75" customHeight="1">
      <c r="B81" s="49">
        <v>344</v>
      </c>
      <c r="C81" s="66" t="str">
        <f ca="1">VLOOKUP( $B81, Aop!$A$2:$P$456, 5, 1)</f>
        <v>G</v>
      </c>
      <c r="D81" s="688" t="str">
        <f ca="1">VLOOKUP( $B81, Aop!$A$2:$P$456, 6, 1)</f>
        <v>UKUPNI PRILIVI GOTOVINE (501 + 515 + 544)</v>
      </c>
      <c r="E81" s="688"/>
      <c r="F81" s="688"/>
      <c r="G81" s="688"/>
      <c r="H81" s="688"/>
      <c r="I81" s="188">
        <f ca="1">VLOOKUP( $B81, Aop!$A$2:$P$456, 4, 1)</f>
        <v>561</v>
      </c>
      <c r="J81" s="155"/>
      <c r="K81" s="67">
        <f>SUBTOTAL( 9, K21:K25, K35:K50, K64:K70)</f>
        <v>34256450</v>
      </c>
      <c r="L81" s="68">
        <f>SUBTOTAL( 9, L21:L25, L35:L50, L64:L70)</f>
        <v>1070838</v>
      </c>
      <c r="P81" s="27"/>
    </row>
    <row r="82" spans="2:16" ht="12.75" customHeight="1">
      <c r="B82" s="49">
        <v>345</v>
      </c>
      <c r="C82" s="60" t="str">
        <f ca="1">VLOOKUP( $B82, Aop!$A$2:$P$456, 5, 1)</f>
        <v>D</v>
      </c>
      <c r="D82" s="668" t="str">
        <f ca="1">VLOOKUP( $B82, Aop!$A$2:$P$456, 6, 1)</f>
        <v>UKUPNI ODLIVI GOTOVINE (506 + 531 + 551)</v>
      </c>
      <c r="E82" s="668"/>
      <c r="F82" s="668"/>
      <c r="G82" s="668"/>
      <c r="H82" s="668"/>
      <c r="I82" s="169">
        <f ca="1">VLOOKUP( $B82, Aop!$A$2:$P$456, 4, 1)</f>
        <v>562</v>
      </c>
      <c r="J82" s="153"/>
      <c r="K82" s="31">
        <f>SUBTOTAL( 9, K26:K32, K51:K61, K71:K78)</f>
        <v>17445268</v>
      </c>
      <c r="L82" s="62">
        <f>SUBTOTAL( 9, L26:L32, L51:L61, L71:L78)</f>
        <v>828378</v>
      </c>
      <c r="P82" s="27"/>
    </row>
    <row r="83" spans="2:16" ht="12.75" customHeight="1">
      <c r="B83" s="49">
        <v>346</v>
      </c>
      <c r="C83" s="66" t="str">
        <f ca="1">VLOOKUP( $B83, Aop!$A$2:$P$456, 5, 1)</f>
        <v>Đ</v>
      </c>
      <c r="D83" s="669" t="str">
        <f ca="1">VLOOKUP( $B83, Aop!$A$2:$P$456, 6, 1)</f>
        <v>NETO PRILIV GOTOVINE (561 – 562)</v>
      </c>
      <c r="E83" s="669"/>
      <c r="F83" s="669"/>
      <c r="G83" s="669"/>
      <c r="H83" s="669"/>
      <c r="I83" s="168">
        <f ca="1">VLOOKUP( $B83, Aop!$A$2:$P$456, 4, 1)</f>
        <v>563</v>
      </c>
      <c r="J83" s="155"/>
      <c r="K83" s="67">
        <f>IF( SUBTOTAL( 9, K21:K25, K35:K50, K64:K70) - SUBTOTAL( 9, K26:K32, K51:K61, K71:K78) &lt;= 0, 0, ABS( SUBTOTAL( 9, K21:K25, K35:K50, K64:K70) - SUBTOTAL( 9, K26:K32, K51:K61, K71:K78)))</f>
        <v>16811182</v>
      </c>
      <c r="L83" s="68">
        <f>IF( SUBTOTAL( 9, L21:L25, L35:L50, L64:L70) - SUBTOTAL( 9, L26:L32, L51:L61, L71:L78) &lt;= 0, 0, ABS( SUBTOTAL( 9, L21:L25, L35:L50, L64:L70) - SUBTOTAL( 9, L26:L32, L51:L61, L71:L78)))</f>
        <v>242460</v>
      </c>
      <c r="P83" s="27"/>
    </row>
    <row r="84" spans="2:16" ht="12.75" customHeight="1">
      <c r="B84" s="49">
        <v>347</v>
      </c>
      <c r="C84" s="60" t="str">
        <f ca="1">VLOOKUP( $B84, Aop!$A$2:$P$456, 5, 1)</f>
        <v>E</v>
      </c>
      <c r="D84" s="668" t="str">
        <f ca="1">VLOOKUP( $B84, Aop!$A$2:$P$456, 6, 1)</f>
        <v>NETO ODLIV GOTOVINE (562 – 561)</v>
      </c>
      <c r="E84" s="668"/>
      <c r="F84" s="668"/>
      <c r="G84" s="668"/>
      <c r="H84" s="668"/>
      <c r="I84" s="169">
        <f ca="1">VLOOKUP( $B84, Aop!$A$2:$P$456, 4, 1)</f>
        <v>564</v>
      </c>
      <c r="J84" s="153"/>
      <c r="K84" s="31">
        <f>IF( SUBTOTAL( 9, K21:K25, K35:K50, K64:K70) - SUBTOTAL( 9, K26:K32, K51:K61, K71:K78) &gt;= 0, 0, ABS( SUBTOTAL( 9, K21:K25, K35:K50, K64:K70) - SUBTOTAL( 9, K26:K32, K51:K61, K71:K78)))</f>
        <v>0</v>
      </c>
      <c r="L84" s="62">
        <f>IF( SUBTOTAL( 9, L21:L25, L35:L50, L64:L70) - SUBTOTAL( 9, L26:L32, L51:L61, L71:L78) &gt;= 0, 0, ABS( SUBTOTAL( 9, L21:L25, L35:L50, L64:L70) - SUBTOTAL( 9, L26:L32, L51:L61, L71:L78)))</f>
        <v>0</v>
      </c>
      <c r="P84" s="27"/>
    </row>
    <row r="85" spans="2:16" ht="12.75" customHeight="1">
      <c r="B85" s="49">
        <v>348</v>
      </c>
      <c r="C85" s="66" t="str">
        <f ca="1">VLOOKUP( $B85, Aop!$A$2:$P$456, 5, 1)</f>
        <v>Ž</v>
      </c>
      <c r="D85" s="669" t="str">
        <f ca="1">VLOOKUP( $B85, Aop!$A$2:$P$456, 6, 1)</f>
        <v xml:space="preserve">GOTOVINA NA POČETKU OBRAČUNSKOG PERIODA </v>
      </c>
      <c r="E85" s="669"/>
      <c r="F85" s="669"/>
      <c r="G85" s="669"/>
      <c r="H85" s="669"/>
      <c r="I85" s="168">
        <f ca="1">VLOOKUP( $B85, Aop!$A$2:$P$456, 4, 1)</f>
        <v>565</v>
      </c>
      <c r="J85" s="391"/>
      <c r="K85" s="159">
        <v>1877593</v>
      </c>
      <c r="L85" s="159">
        <v>297053</v>
      </c>
      <c r="P85" s="27"/>
    </row>
    <row r="86" spans="2:16" ht="12.75" customHeight="1">
      <c r="B86" s="49">
        <v>349</v>
      </c>
      <c r="C86" s="60" t="str">
        <f ca="1">VLOOKUP( $B86, Aop!$A$2:$P$456, 5, 1)</f>
        <v>Z</v>
      </c>
      <c r="D86" s="668" t="str">
        <f ca="1">VLOOKUP( $B86, Aop!$A$2:$P$456, 6, 1)</f>
        <v>POZITIVNE KURSNE RAZLIKE PO OSNOVU PRERAČUNA GOTOVINE</v>
      </c>
      <c r="E86" s="668"/>
      <c r="F86" s="668"/>
      <c r="G86" s="668"/>
      <c r="H86" s="668"/>
      <c r="I86" s="169">
        <f ca="1">VLOOKUP( $B86, Aop!$A$2:$P$456, 4, 1)</f>
        <v>566</v>
      </c>
      <c r="J86" s="390"/>
      <c r="K86" s="81"/>
      <c r="L86" s="82"/>
      <c r="P86" s="27"/>
    </row>
    <row r="87" spans="2:16" ht="12.75" customHeight="1">
      <c r="B87" s="49">
        <v>350</v>
      </c>
      <c r="C87" s="66" t="str">
        <f ca="1">VLOOKUP( $B87, Aop!$A$2:$P$456, 5, 1)</f>
        <v>I</v>
      </c>
      <c r="D87" s="669" t="str">
        <f ca="1">VLOOKUP( $B87, Aop!$A$2:$P$456, 6, 1)</f>
        <v>NEGATIVNE KURSNE RAZLIKE PO OSNOVU PRERAČUNA GOTOVINE</v>
      </c>
      <c r="E87" s="669"/>
      <c r="F87" s="669"/>
      <c r="G87" s="669"/>
      <c r="H87" s="669"/>
      <c r="I87" s="168">
        <f ca="1">VLOOKUP( $B87, Aop!$A$2:$P$456, 4, 1)</f>
        <v>567</v>
      </c>
      <c r="J87" s="391"/>
      <c r="K87" s="159"/>
      <c r="L87" s="160"/>
      <c r="P87" s="27"/>
    </row>
    <row r="88" spans="2:16" ht="12.75" customHeight="1">
      <c r="B88" s="49">
        <v>351</v>
      </c>
      <c r="C88" s="244" t="str">
        <f ca="1">VLOOKUP( $B88, Aop!$A$2:$P$456, 5, 1)</f>
        <v>J</v>
      </c>
      <c r="D88" s="689" t="str">
        <f ca="1">VLOOKUP( $B88, Aop!$A$2:$P$456, 6, 1)</f>
        <v>GOTOVINA NA KRAJU OBRAČUNSKOG PERIODA (565 + 563 – 564 + 566 – 567)</v>
      </c>
      <c r="E88" s="689"/>
      <c r="F88" s="689"/>
      <c r="G88" s="689"/>
      <c r="H88" s="689"/>
      <c r="I88" s="406">
        <f ca="1">VLOOKUP( $B88, Aop!$A$2:$P$456, 4, 1)</f>
        <v>568</v>
      </c>
      <c r="J88" s="392"/>
      <c r="K88" s="407">
        <f>SUBTOTAL( 9, K21:K25, K35:K50, K64:K70,K85,K86) - SUBTOTAL( 9, K26:K32, K51:K61, K71:K78, K87)</f>
        <v>18688775</v>
      </c>
      <c r="L88" s="408">
        <f>SUBTOTAL( 9, L21:L25, L35:L50, L64:L70,L85,L86) - SUBTOTAL( 9, L26:L32, L51:L61, L71:L78, L87)</f>
        <v>539513</v>
      </c>
      <c r="P88" s="27"/>
    </row>
    <row r="89" spans="2:16" ht="3" customHeight="1"/>
    <row r="90" spans="2:16" ht="12" customHeight="1">
      <c r="C90" s="178" t="str">
        <f ca="1">Podnozje_U</f>
        <v>U:</v>
      </c>
      <c r="D90" s="411" t="str">
        <f ca="1">Podatak_U</f>
        <v>Prijedoru</v>
      </c>
      <c r="E90"/>
      <c r="F90" s="666" t="str">
        <f ca="1">Podnozje_Lice_sa_licencom</f>
        <v>Lice sa licencom:</v>
      </c>
      <c r="G90" s="666"/>
      <c r="H90" s="36" t="str">
        <f ca="1">Podnozje_MP</f>
        <v>(M.P.)</v>
      </c>
      <c r="I90" s="14"/>
      <c r="J90" s="14"/>
      <c r="K90" s="666" t="str">
        <f ca="1">Podnozje_Direktor</f>
        <v>Lice ovlašćeno za zastupanje:</v>
      </c>
      <c r="L90" s="666"/>
    </row>
    <row r="91" spans="2:16" ht="11.25" customHeight="1">
      <c r="C91" s="28"/>
      <c r="D91" s="128"/>
      <c r="E91"/>
      <c r="F91" s="692" t="str">
        <f ca="1">lice</f>
        <v>Petrašin Rodić,dipl.ecc</v>
      </c>
      <c r="G91" s="692"/>
      <c r="H91" s="416"/>
      <c r="I91" s="416"/>
      <c r="J91" s="210"/>
      <c r="K91" s="682" t="str">
        <f ca="1">Podatak_Direktor</f>
        <v>Stanko Vujković,dipl.ing.maš.</v>
      </c>
      <c r="L91" s="682"/>
    </row>
    <row r="92" spans="2:16" ht="11.25" customHeight="1">
      <c r="C92" s="178" t="str">
        <f ca="1">Podnozje_Dana</f>
        <v>Dana:</v>
      </c>
      <c r="D92" s="410" t="str">
        <f ca="1">Podatak_Dana</f>
        <v>31.07.2022.</v>
      </c>
      <c r="E92"/>
      <c r="F92" s="691" t="str">
        <f ca="1">licenca</f>
        <v>SR -0054/22</v>
      </c>
      <c r="G92" s="691"/>
      <c r="K92" s="691"/>
      <c r="L92" s="691"/>
    </row>
    <row r="93" spans="2:16" hidden="1">
      <c r="F93" s="39"/>
      <c r="G93" s="39"/>
      <c r="H93" s="39"/>
      <c r="I93" s="9"/>
      <c r="J93" s="36"/>
      <c r="K93" s="36"/>
    </row>
    <row r="94" spans="2:16"/>
    <row r="95" spans="2:16"/>
    <row r="96" spans="2:16"/>
    <row r="97"/>
    <row r="98"/>
    <row r="99"/>
    <row r="100"/>
  </sheetData>
  <mergeCells count="92">
    <mergeCell ref="D79:H79"/>
    <mergeCell ref="D66:H66"/>
    <mergeCell ref="D87:H87"/>
    <mergeCell ref="D45:H45"/>
    <mergeCell ref="D75:H75"/>
    <mergeCell ref="D48:H48"/>
    <mergeCell ref="D85:H85"/>
    <mergeCell ref="D57:H57"/>
    <mergeCell ref="D73:H73"/>
    <mergeCell ref="D74:H74"/>
    <mergeCell ref="D77:H77"/>
    <mergeCell ref="D61:H61"/>
    <mergeCell ref="D32:H32"/>
    <mergeCell ref="D33:H33"/>
    <mergeCell ref="D34:H34"/>
    <mergeCell ref="D64:H64"/>
    <mergeCell ref="D65:H65"/>
    <mergeCell ref="D76:H76"/>
    <mergeCell ref="D35:H35"/>
    <mergeCell ref="D36:H36"/>
    <mergeCell ref="D24:H24"/>
    <mergeCell ref="D82:H82"/>
    <mergeCell ref="D69:H69"/>
    <mergeCell ref="D49:H49"/>
    <mergeCell ref="D27:H27"/>
    <mergeCell ref="D28:H28"/>
    <mergeCell ref="D39:H39"/>
    <mergeCell ref="D80:H80"/>
    <mergeCell ref="D78:H78"/>
    <mergeCell ref="D72:H72"/>
    <mergeCell ref="D63:H63"/>
    <mergeCell ref="D55:H55"/>
    <mergeCell ref="D59:H59"/>
    <mergeCell ref="D67:H67"/>
    <mergeCell ref="D46:H46"/>
    <mergeCell ref="D47:H47"/>
    <mergeCell ref="K92:L92"/>
    <mergeCell ref="F91:G91"/>
    <mergeCell ref="F92:G92"/>
    <mergeCell ref="K90:L90"/>
    <mergeCell ref="K91:L91"/>
    <mergeCell ref="F90:G90"/>
    <mergeCell ref="D31:H31"/>
    <mergeCell ref="D29:H29"/>
    <mergeCell ref="D70:H70"/>
    <mergeCell ref="D50:H50"/>
    <mergeCell ref="D56:H56"/>
    <mergeCell ref="D60:H60"/>
    <mergeCell ref="D52:H52"/>
    <mergeCell ref="D51:H51"/>
    <mergeCell ref="D53:H53"/>
    <mergeCell ref="D54:H54"/>
    <mergeCell ref="D86:H86"/>
    <mergeCell ref="D81:H81"/>
    <mergeCell ref="D83:H83"/>
    <mergeCell ref="D84:H84"/>
    <mergeCell ref="D88:H88"/>
    <mergeCell ref="D37:H37"/>
    <mergeCell ref="D38:H38"/>
    <mergeCell ref="D41:H41"/>
    <mergeCell ref="D68:H68"/>
    <mergeCell ref="D62:H62"/>
    <mergeCell ref="D71:H71"/>
    <mergeCell ref="D40:H40"/>
    <mergeCell ref="D58:H58"/>
    <mergeCell ref="C12:F12"/>
    <mergeCell ref="C14:L14"/>
    <mergeCell ref="C15:L15"/>
    <mergeCell ref="K18:L18"/>
    <mergeCell ref="I18:I19"/>
    <mergeCell ref="J18:J19"/>
    <mergeCell ref="D43:H43"/>
    <mergeCell ref="D44:H44"/>
    <mergeCell ref="C5:E6"/>
    <mergeCell ref="C9:E9"/>
    <mergeCell ref="C18:C19"/>
    <mergeCell ref="D18:H19"/>
    <mergeCell ref="C13:F13"/>
    <mergeCell ref="C7:F7"/>
    <mergeCell ref="D8:F8"/>
    <mergeCell ref="D25:H25"/>
    <mergeCell ref="D20:H20"/>
    <mergeCell ref="C10:F10"/>
    <mergeCell ref="C16:L16"/>
    <mergeCell ref="C11:F11"/>
    <mergeCell ref="K10:L10"/>
    <mergeCell ref="D30:H30"/>
    <mergeCell ref="D42:H42"/>
    <mergeCell ref="D22:H22"/>
    <mergeCell ref="D23:H23"/>
    <mergeCell ref="D21:H21"/>
    <mergeCell ref="D26:H26"/>
  </mergeCells>
  <phoneticPr fontId="4" type="noConversion"/>
  <dataValidations xWindow="1273" yWindow="821" count="2">
    <dataValidation type="whole" operator="greaterThanOrEqual" allowBlank="1" showInputMessage="1" showErrorMessage="1" errorTitle="Graška" error="Unose se vrijednosti u konvertibilnim markama, bez decimalnih mjesta. Nije dozvoljen unos negativnih brojeva." sqref="K36:L50 K65:L70 K27:L32 K23:L25 K52:L61 J21:J84 K72:L78 K85:K87 L85:L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Sheet04">
    <tabColor rgb="FFB2B2B2"/>
  </sheetPr>
  <dimension ref="A1:IU96"/>
  <sheetViews>
    <sheetView showGridLines="0" showRowColHeaders="0" zoomScaleNormal="100" zoomScaleSheetLayoutView="100" workbookViewId="0">
      <pane xSplit="13" ySplit="4" topLeftCell="N59" activePane="bottomRight" state="frozen"/>
      <selection pane="topRight" activeCell="N1" sqref="N1"/>
      <selection pane="bottomLeft" activeCell="A5" sqref="A5"/>
      <selection pane="bottomRight" activeCell="J59" sqref="J59"/>
    </sheetView>
  </sheetViews>
  <sheetFormatPr defaultColWidth="0" defaultRowHeight="12.75" zeroHeight="1"/>
  <cols>
    <col min="1" max="1" width="5" style="8" customWidth="1"/>
    <col min="2" max="2" width="5.5703125" style="8" hidden="1" customWidth="1"/>
    <col min="3" max="3" width="19.5703125" style="8" customWidth="1"/>
    <col min="4" max="8" width="17" style="8" customWidth="1"/>
    <col min="9" max="9" width="7.140625" style="8" customWidth="1"/>
    <col min="10" max="11" width="14.28515625" style="8" customWidth="1"/>
    <col min="12" max="13" width="14.28515625" style="8" hidden="1" customWidth="1"/>
    <col min="14" max="14" width="5.7109375" style="8" customWidth="1"/>
    <col min="15" max="15" width="11.42578125" style="8" hidden="1" customWidth="1"/>
    <col min="16" max="255" width="9.140625" style="8" hidden="1" customWidth="1"/>
    <col min="256" max="16384" width="2.7109375" style="8" hidden="1"/>
  </cols>
  <sheetData>
    <row r="1" spans="3:11">
      <c r="C1" s="18"/>
      <c r="D1" s="18"/>
      <c r="E1" s="18"/>
      <c r="F1" s="18"/>
      <c r="G1" s="18"/>
      <c r="H1" s="18"/>
      <c r="I1" s="18"/>
      <c r="J1" s="18"/>
      <c r="K1" s="18"/>
    </row>
    <row r="2" spans="3:11">
      <c r="C2" s="18"/>
      <c r="D2" s="18"/>
      <c r="E2" s="18"/>
      <c r="F2" s="18"/>
      <c r="G2" s="18"/>
      <c r="H2" s="18"/>
      <c r="I2" s="18"/>
      <c r="J2" s="18"/>
      <c r="K2" s="18"/>
    </row>
    <row r="3" spans="3:11">
      <c r="C3" s="18"/>
      <c r="D3" s="18"/>
      <c r="E3" s="18"/>
      <c r="F3" s="18"/>
      <c r="G3" s="18"/>
      <c r="H3" s="18"/>
      <c r="I3" s="18"/>
      <c r="J3" s="18"/>
      <c r="K3" s="18"/>
    </row>
    <row r="4" spans="3:11">
      <c r="C4" s="18"/>
      <c r="D4" s="18"/>
      <c r="E4" s="18"/>
      <c r="F4" s="18"/>
      <c r="G4" s="18"/>
      <c r="H4" s="18"/>
      <c r="I4" s="18"/>
      <c r="J4" s="18"/>
      <c r="K4" s="18"/>
    </row>
    <row r="5" spans="3:11" ht="12.75" customHeight="1">
      <c r="C5" s="618" t="str">
        <f ca="1">Zaglavlje_Naziv_preduzeca</f>
        <v xml:space="preserve">Naziv privrednog društva, zadruge, drugog pravnog lica ili preduzetnika: </v>
      </c>
      <c r="D5" s="618"/>
      <c r="E5" s="618"/>
      <c r="J5" s="697" t="str">
        <f ca="1">Podatak_MB</f>
        <v>01111329</v>
      </c>
      <c r="K5" s="697"/>
    </row>
    <row r="6" spans="3:11">
      <c r="C6" s="618"/>
      <c r="D6" s="618"/>
      <c r="E6" s="618"/>
      <c r="F6" s="9"/>
      <c r="K6" s="413" t="str">
        <f ca="1">Zaglavlje_MB</f>
        <v>Matični broj</v>
      </c>
    </row>
    <row r="7" spans="3:11" ht="12.75" customHeight="1">
      <c r="C7" s="621" t="str">
        <f ca="1">Podatak_Naziv_preduzeca</f>
        <v>RUDNICI ŽELJEZNE RUDE LJUBIJA AD PRIJEDOR</v>
      </c>
      <c r="D7" s="621"/>
      <c r="E7" s="621"/>
      <c r="F7" s="17"/>
      <c r="K7" s="393" t="str">
        <f ca="1">Podatak_Sifra_djelatnosti</f>
        <v>07.10</v>
      </c>
    </row>
    <row r="8" spans="3:11">
      <c r="C8" s="126" t="str">
        <f ca="1">Zaglavlje_Sjediste</f>
        <v>Sjedište:</v>
      </c>
      <c r="D8" s="698" t="str">
        <f ca="1">Podatak_Sjediste</f>
        <v>PRIJEDOR</v>
      </c>
      <c r="E8" s="698"/>
      <c r="F8" s="17"/>
      <c r="K8" s="413" t="str">
        <f ca="1">Zaglavlje_Sifra_djelatnosti</f>
        <v>Šifra djelatnosti</v>
      </c>
    </row>
    <row r="9" spans="3:11">
      <c r="C9" s="620" t="str">
        <f ca="1">Zaglavlje_Ziro_racun</f>
        <v>Račun kod ovlašćene organizacije za platni promet:</v>
      </c>
      <c r="D9" s="620"/>
      <c r="E9" s="620"/>
      <c r="F9" s="241"/>
      <c r="K9" s="393" t="str">
        <f ca="1">Podatak_JIB</f>
        <v>4400692320002</v>
      </c>
    </row>
    <row r="10" spans="3:11">
      <c r="C10" s="615" t="str">
        <f ca="1">Podatak_Ziro_racun_1</f>
        <v>555-100-00160158-32</v>
      </c>
      <c r="D10" s="615"/>
      <c r="E10" s="615"/>
      <c r="F10" s="241"/>
      <c r="K10" s="240" t="str">
        <f ca="1">Zaglavlje_JIB</f>
        <v>JIB</v>
      </c>
    </row>
    <row r="11" spans="3:11">
      <c r="C11" s="615" t="str">
        <f ca="1">Podatak_Ziro_racun_2</f>
        <v/>
      </c>
      <c r="D11" s="615"/>
      <c r="E11" s="615"/>
      <c r="F11" s="241"/>
      <c r="K11" s="243"/>
    </row>
    <row r="12" spans="3:11">
      <c r="C12" s="640" t="str">
        <f ca="1">Podatak_Ziro_racun_3</f>
        <v/>
      </c>
      <c r="D12" s="640"/>
      <c r="E12" s="640"/>
      <c r="F12" s="14"/>
    </row>
    <row r="13" spans="3:11">
      <c r="C13" s="640" t="str">
        <f ca="1">Podatak_Ziro_racun_4</f>
        <v/>
      </c>
      <c r="D13" s="640"/>
      <c r="E13" s="640"/>
      <c r="F13" s="18"/>
      <c r="G13" s="18"/>
      <c r="H13" s="18"/>
      <c r="I13" s="18"/>
      <c r="J13"/>
      <c r="K13"/>
    </row>
    <row r="14" spans="3:11" ht="15.75">
      <c r="C14" s="687" t="str">
        <f ca="1">IF( Id_Konsolidovani, Nazivi_bilansa_Konsolidovani_naziv &amp; LOWER( Nazivi_bilansa_Aneks), Nazivi_bilansa_Aneks)</f>
        <v>Aneks</v>
      </c>
      <c r="D14" s="687"/>
      <c r="E14" s="687"/>
      <c r="F14" s="687"/>
      <c r="G14" s="687"/>
      <c r="H14" s="687"/>
      <c r="I14" s="687"/>
      <c r="J14" s="687"/>
      <c r="K14" s="687"/>
    </row>
    <row r="15" spans="3:11">
      <c r="C15" s="684" t="str">
        <f ca="1">Nazivi_bilansa_Aneks1</f>
        <v>(Dodatni računovodstveni izvještaj)</v>
      </c>
      <c r="D15" s="684"/>
      <c r="E15" s="684"/>
      <c r="F15" s="684"/>
      <c r="G15" s="684"/>
      <c r="H15" s="684"/>
      <c r="I15" s="684"/>
      <c r="J15" s="684"/>
      <c r="K15" s="684"/>
    </row>
    <row r="16" spans="3:11">
      <c r="C16" s="684" t="str">
        <f ca="1">Datumi_Datum_Aneks</f>
        <v>za period od 01.01. do 30.06.2022. godine</v>
      </c>
      <c r="D16" s="684"/>
      <c r="E16" s="684"/>
      <c r="F16" s="684"/>
      <c r="G16" s="684"/>
      <c r="H16" s="684"/>
      <c r="I16" s="684"/>
      <c r="J16" s="684"/>
      <c r="K16" s="684"/>
    </row>
    <row r="17" spans="2:15">
      <c r="C17" s="40"/>
      <c r="D17" s="40"/>
      <c r="E17" s="40"/>
      <c r="F17" s="40"/>
      <c r="G17" s="40"/>
      <c r="H17" s="40"/>
      <c r="I17" s="40"/>
      <c r="J17" s="40"/>
      <c r="K17" s="21" t="str">
        <f ca="1">Tabele_zaglavlje_Valuta</f>
        <v>- u konvertibilnim markama -</v>
      </c>
    </row>
    <row r="18" spans="2:15">
      <c r="C18" s="678" t="str">
        <f ca="1">Tabele_zaglavlje_Grupa_racuna</f>
        <v>Grupa računa, račun</v>
      </c>
      <c r="D18" s="680" t="str">
        <f ca="1">Tabele_zaglavlje_Pozicija</f>
        <v>POZICIJA</v>
      </c>
      <c r="E18" s="680"/>
      <c r="F18" s="680"/>
      <c r="G18" s="680"/>
      <c r="H18" s="680"/>
      <c r="I18" s="675" t="str">
        <f ca="1">Tabele_zaglavlje_Oznaka_aop</f>
        <v>Oznaka za AOP</v>
      </c>
      <c r="J18" s="680" t="str">
        <f ca="1">Tabele_zaglavlje_Iznos</f>
        <v>Iznos</v>
      </c>
      <c r="K18" s="699"/>
      <c r="M18" s="41"/>
    </row>
    <row r="19" spans="2:15" ht="25.5">
      <c r="C19" s="679"/>
      <c r="D19" s="681"/>
      <c r="E19" s="681"/>
      <c r="F19" s="681"/>
      <c r="G19" s="681"/>
      <c r="H19" s="681"/>
      <c r="I19" s="676"/>
      <c r="J19" s="42" t="str">
        <f ca="1">Tabele_zaglavlje_Tekuca_godina</f>
        <v>Tekuća godina</v>
      </c>
      <c r="K19" s="43" t="str">
        <f ca="1">Tabele_zaglavlje_Prethodna_godina</f>
        <v>Prethodna godina</v>
      </c>
      <c r="M19" s="41"/>
      <c r="O19" s="135" t="s">
        <v>1789</v>
      </c>
    </row>
    <row r="20" spans="2:15">
      <c r="B20" s="44" t="s">
        <v>1527</v>
      </c>
      <c r="C20" s="69">
        <v>1</v>
      </c>
      <c r="D20" s="670">
        <v>2</v>
      </c>
      <c r="E20" s="670"/>
      <c r="F20" s="670"/>
      <c r="G20" s="670"/>
      <c r="H20" s="670"/>
      <c r="I20" s="70">
        <v>3</v>
      </c>
      <c r="J20" s="76">
        <v>4</v>
      </c>
      <c r="K20" s="77">
        <v>5</v>
      </c>
    </row>
    <row r="21" spans="2:15">
      <c r="B21" s="49">
        <v>352</v>
      </c>
      <c r="C21" s="189" t="str">
        <f ca="1">VLOOKUP( $B21, Aop!$A$2:$P$456, 5, 1)</f>
        <v>010</v>
      </c>
      <c r="D21" s="700" t="str">
        <f ca="1">VLOOKUP( $B21, Aop!$A$2:$P$456, 6, 1)</f>
        <v>Ulaganja u istraživanje i razvoj (dugovni promet bez početnog stanja)</v>
      </c>
      <c r="E21" s="700"/>
      <c r="F21" s="700"/>
      <c r="G21" s="700"/>
      <c r="H21" s="700"/>
      <c r="I21" s="190">
        <f ca="1">VLOOKUP( $B21, Aop!$A$2:$P$456, 4, 1)</f>
        <v>601</v>
      </c>
      <c r="J21" s="153"/>
      <c r="K21" s="153"/>
      <c r="O21" s="27"/>
    </row>
    <row r="22" spans="2:15" ht="25.5">
      <c r="B22" s="49">
        <v>353</v>
      </c>
      <c r="C22" s="191" t="str">
        <f ca="1">VLOOKUP( $B22, Aop!$A$2:$P$456, 5, 1)</f>
        <v>201, dio 200</v>
      </c>
      <c r="D22" s="663" t="str">
        <f ca="1">VLOOKUP( $B22, Aop!$A$2:$P$456, 6, 1)</f>
        <v>Kupci iz Republike Srpske i kupci - povezana pravna lica iz RS (dugovni promet bez početnog stanja)</v>
      </c>
      <c r="E22" s="663"/>
      <c r="F22" s="663"/>
      <c r="G22" s="663"/>
      <c r="H22" s="663"/>
      <c r="I22" s="123">
        <f ca="1">VLOOKUP( $B22, Aop!$A$2:$P$456, 4, 1)</f>
        <v>602</v>
      </c>
      <c r="J22" s="153">
        <v>1012834</v>
      </c>
      <c r="K22" s="153">
        <v>573010</v>
      </c>
      <c r="O22" s="134" t="s">
        <v>2435</v>
      </c>
    </row>
    <row r="23" spans="2:15" ht="25.5" customHeight="1">
      <c r="B23" s="49">
        <v>354</v>
      </c>
      <c r="C23" s="192" t="str">
        <f ca="1">VLOOKUP( $B23, Aop!$A$2:$P$456, 5, 1)</f>
        <v>202, dio 200</v>
      </c>
      <c r="D23" s="563" t="str">
        <f ca="1">VLOOKUP( $B23, Aop!$A$2:$P$456, 6, 1)</f>
        <v>Kupci iz Federacije BiH i kupci - povezana pravna lica iz FBiH (dugovni promet bez početnog stanja)</v>
      </c>
      <c r="E23" s="564"/>
      <c r="F23" s="564"/>
      <c r="G23" s="564"/>
      <c r="H23" s="565"/>
      <c r="I23" s="193">
        <f ca="1">VLOOKUP( $B23, Aop!$A$2:$P$456, 4, 1)</f>
        <v>603</v>
      </c>
      <c r="J23" s="153">
        <v>25752</v>
      </c>
      <c r="K23" s="153"/>
      <c r="O23" s="134" t="s">
        <v>2435</v>
      </c>
    </row>
    <row r="24" spans="2:15" ht="25.5" customHeight="1">
      <c r="B24" s="49">
        <v>355</v>
      </c>
      <c r="C24" s="191" t="str">
        <f ca="1">VLOOKUP( $B24, Aop!$A$2:$P$456, 5, 1)</f>
        <v>203, dio 200</v>
      </c>
      <c r="D24" s="557" t="str">
        <f ca="1">VLOOKUP( $B24, Aop!$A$2:$P$456, 6, 1)</f>
        <v>Kupci iz Brčko Distrikta BiH i kupci - povezana pravna lica iz BD (dugovni promet bez početnog stanja)</v>
      </c>
      <c r="E24" s="558"/>
      <c r="F24" s="558"/>
      <c r="G24" s="558"/>
      <c r="H24" s="559"/>
      <c r="I24" s="123">
        <f ca="1">VLOOKUP( $B24, Aop!$A$2:$P$456, 4, 1)</f>
        <v>604</v>
      </c>
      <c r="J24" s="153"/>
      <c r="K24" s="153"/>
      <c r="O24" s="134" t="s">
        <v>2435</v>
      </c>
    </row>
    <row r="25" spans="2:15" ht="25.5">
      <c r="B25" s="49">
        <v>356</v>
      </c>
      <c r="C25" s="192" t="str">
        <f ca="1">VLOOKUP( $B25, Aop!$A$2:$P$456, 5, 1)</f>
        <v>432, dio 431</v>
      </c>
      <c r="D25" s="563" t="str">
        <f ca="1">VLOOKUP( $B25, Aop!$A$2:$P$456, 6, 1)</f>
        <v>Dobavljači iz Republike Srpske i dobavljači - povezana pravna lica iz RS (potražni promet bez početnog stanja)</v>
      </c>
      <c r="E25" s="564"/>
      <c r="F25" s="564"/>
      <c r="G25" s="564"/>
      <c r="H25" s="565"/>
      <c r="I25" s="193">
        <f ca="1">VLOOKUP( $B25, Aop!$A$2:$P$456, 4, 1)</f>
        <v>605</v>
      </c>
      <c r="J25" s="153">
        <v>775979</v>
      </c>
      <c r="K25" s="153">
        <v>111684</v>
      </c>
      <c r="O25" s="134" t="s">
        <v>2435</v>
      </c>
    </row>
    <row r="26" spans="2:15" ht="25.5">
      <c r="B26" s="49">
        <v>357</v>
      </c>
      <c r="C26" s="191" t="str">
        <f ca="1">VLOOKUP( $B26, Aop!$A$2:$P$456, 5, 1)</f>
        <v>433, dio 431</v>
      </c>
      <c r="D26" s="557" t="str">
        <f ca="1">VLOOKUP( $B26, Aop!$A$2:$P$456, 6, 1)</f>
        <v>Dobavljači iz Federacije BiH i dobavljači - povezana pravna lica iz FBiH (potražni promet bez početnog stanja)</v>
      </c>
      <c r="E26" s="558"/>
      <c r="F26" s="558"/>
      <c r="G26" s="558"/>
      <c r="H26" s="559"/>
      <c r="I26" s="123">
        <f ca="1">VLOOKUP( $B26, Aop!$A$2:$P$456, 4, 1)</f>
        <v>606</v>
      </c>
      <c r="J26" s="153">
        <v>782307</v>
      </c>
      <c r="K26" s="153"/>
      <c r="O26" s="134" t="s">
        <v>2435</v>
      </c>
    </row>
    <row r="27" spans="2:15" ht="25.5">
      <c r="B27" s="49">
        <v>358</v>
      </c>
      <c r="C27" s="192" t="str">
        <f ca="1">VLOOKUP( $B27, Aop!$A$2:$P$456, 5, 1)</f>
        <v>434, dio 431</v>
      </c>
      <c r="D27" s="563" t="str">
        <f ca="1">VLOOKUP( $B27, Aop!$A$2:$P$456, 6, 1)</f>
        <v>Dobavljači iz Brčko Distrikta BiH i dobavljači - povezana pravna lica iz DB (potražni promet bez početnog stanja)</v>
      </c>
      <c r="E27" s="564"/>
      <c r="F27" s="564"/>
      <c r="G27" s="564"/>
      <c r="H27" s="565"/>
      <c r="I27" s="193">
        <f ca="1">VLOOKUP( $B27, Aop!$A$2:$P$456, 4, 1)</f>
        <v>607</v>
      </c>
      <c r="J27" s="153"/>
      <c r="K27" s="153"/>
      <c r="O27" s="134" t="s">
        <v>2435</v>
      </c>
    </row>
    <row r="28" spans="2:15" ht="25.5" customHeight="1">
      <c r="B28" s="49">
        <v>359</v>
      </c>
      <c r="C28" s="191" t="str">
        <f ca="1">VLOOKUP( $B28, Aop!$A$2:$P$456, 5, 1)</f>
        <v>601, dio 600</v>
      </c>
      <c r="D28" s="557" t="str">
        <f ca="1">VLOOKUP( $B28, Aop!$A$2:$P$456, 6, 1)</f>
        <v>Prihodi od prodaje robe u Republici Srpskoj i prihodi od prodaje robe povezanim pravnim licima u RS</v>
      </c>
      <c r="E28" s="558"/>
      <c r="F28" s="558"/>
      <c r="G28" s="558"/>
      <c r="H28" s="559"/>
      <c r="I28" s="123">
        <f ca="1">VLOOKUP( $B28, Aop!$A$2:$P$456, 4, 1)</f>
        <v>608</v>
      </c>
      <c r="J28" s="153">
        <v>619385</v>
      </c>
      <c r="K28" s="153"/>
      <c r="O28" s="134" t="s">
        <v>2435</v>
      </c>
    </row>
    <row r="29" spans="2:15" ht="25.5" customHeight="1">
      <c r="B29" s="49">
        <v>360</v>
      </c>
      <c r="C29" s="192" t="str">
        <f ca="1">VLOOKUP( $B29, Aop!$A$2:$P$456, 5, 1)</f>
        <v>602, dio 600</v>
      </c>
      <c r="D29" s="563" t="str">
        <f ca="1">VLOOKUP( $B29, Aop!$A$2:$P$456, 6, 1)</f>
        <v>Prihodi od prodaje robe u Federaciji BiH i prihodi od prodaje robe povezanim pravnim licima u FBiH</v>
      </c>
      <c r="E29" s="564"/>
      <c r="F29" s="564"/>
      <c r="G29" s="564"/>
      <c r="H29" s="565"/>
      <c r="I29" s="193">
        <f ca="1">VLOOKUP( $B29, Aop!$A$2:$P$456, 4, 1)</f>
        <v>609</v>
      </c>
      <c r="J29" s="153"/>
      <c r="K29" s="153"/>
      <c r="O29" s="134" t="s">
        <v>2435</v>
      </c>
    </row>
    <row r="30" spans="2:15" ht="25.5" customHeight="1">
      <c r="B30" s="49">
        <v>361</v>
      </c>
      <c r="C30" s="191" t="str">
        <f ca="1">VLOOKUP( $B30, Aop!$A$2:$P$456, 5, 1)</f>
        <v>603, dio 600</v>
      </c>
      <c r="D30" s="557" t="str">
        <f ca="1">VLOOKUP( $B30, Aop!$A$2:$P$456, 6, 1)</f>
        <v>Prihodi od prodaje robe u Brčko Distriktu BiH i prihodi od prodaje robe povezanim pravnim licima u BD</v>
      </c>
      <c r="E30" s="558"/>
      <c r="F30" s="558"/>
      <c r="G30" s="558"/>
      <c r="H30" s="559"/>
      <c r="I30" s="123">
        <f ca="1">VLOOKUP( $B30, Aop!$A$2:$P$456, 4, 1)</f>
        <v>610</v>
      </c>
      <c r="J30" s="153"/>
      <c r="K30" s="153"/>
      <c r="O30" s="134" t="s">
        <v>2435</v>
      </c>
    </row>
    <row r="31" spans="2:15" ht="12.75" customHeight="1">
      <c r="B31" s="49">
        <v>362</v>
      </c>
      <c r="C31" s="192" t="str">
        <f ca="1">VLOOKUP( $B31, Aop!$A$2:$P$456, 5, 1)</f>
        <v>dio 61</v>
      </c>
      <c r="D31" s="563" t="str">
        <f ca="1">VLOOKUP( $B31, Aop!$A$2:$P$456, 6, 1)</f>
        <v>Prihodi od prodaje proizvoda</v>
      </c>
      <c r="E31" s="564"/>
      <c r="F31" s="564"/>
      <c r="G31" s="564"/>
      <c r="H31" s="565"/>
      <c r="I31" s="193">
        <f ca="1">VLOOKUP( $B31, Aop!$A$2:$P$456, 4, 1)</f>
        <v>611</v>
      </c>
      <c r="J31" s="153"/>
      <c r="K31" s="153"/>
      <c r="O31"/>
    </row>
    <row r="32" spans="2:15" ht="12.75" customHeight="1">
      <c r="B32" s="49">
        <v>363</v>
      </c>
      <c r="C32" s="191" t="str">
        <f ca="1">VLOOKUP( $B32, Aop!$A$2:$P$456, 5, 1)</f>
        <v>dio 61</v>
      </c>
      <c r="D32" s="557" t="str">
        <f ca="1">VLOOKUP( $B32, Aop!$A$2:$P$456, 6, 1)</f>
        <v>Prihodi od prodaje usluga</v>
      </c>
      <c r="E32" s="558"/>
      <c r="F32" s="558"/>
      <c r="G32" s="558"/>
      <c r="H32" s="559"/>
      <c r="I32" s="123">
        <f ca="1">VLOOKUP( $B32, Aop!$A$2:$P$456, 4, 1)</f>
        <v>612</v>
      </c>
      <c r="J32" s="153"/>
      <c r="K32" s="153">
        <v>446576</v>
      </c>
      <c r="O32"/>
    </row>
    <row r="33" spans="2:15" ht="25.5" customHeight="1">
      <c r="B33" s="49">
        <v>364</v>
      </c>
      <c r="C33" s="192" t="str">
        <f ca="1">VLOOKUP( $B33, Aop!$A$2:$P$456, 5, 1)</f>
        <v>611, dio 610</v>
      </c>
      <c r="D33" s="563" t="str">
        <f ca="1">VLOOKUP( $B33, Aop!$A$2:$P$456, 6, 1)</f>
        <v>Prihodi od prodaje učinaka u Republici Srpskoj i prihodi od prodaje učinaka povezanim pravnim licima u RS</v>
      </c>
      <c r="E33" s="564"/>
      <c r="F33" s="564"/>
      <c r="G33" s="564"/>
      <c r="H33" s="565"/>
      <c r="I33" s="193">
        <f ca="1">VLOOKUP( $B33, Aop!$A$2:$P$456, 4, 1)</f>
        <v>613</v>
      </c>
      <c r="J33" s="153">
        <v>225788</v>
      </c>
      <c r="K33" s="153"/>
      <c r="O33" s="134" t="s">
        <v>2435</v>
      </c>
    </row>
    <row r="34" spans="2:15" ht="25.5" customHeight="1">
      <c r="B34" s="49">
        <v>365</v>
      </c>
      <c r="C34" s="191" t="str">
        <f ca="1">VLOOKUP( $B34, Aop!$A$2:$P$456, 5, 1)</f>
        <v>612, dio 610</v>
      </c>
      <c r="D34" s="557" t="str">
        <f ca="1">VLOOKUP( $B34, Aop!$A$2:$P$456, 6, 1)</f>
        <v>Prihodi od prodaje učinaka u Federaciji BiH i prihodi od prodaje učinaka povezanim pravnim licima u FBiH</v>
      </c>
      <c r="E34" s="558"/>
      <c r="F34" s="558"/>
      <c r="G34" s="558"/>
      <c r="H34" s="559"/>
      <c r="I34" s="123">
        <f ca="1">VLOOKUP( $B34, Aop!$A$2:$P$456, 4, 1)</f>
        <v>614</v>
      </c>
      <c r="J34" s="153"/>
      <c r="K34" s="153"/>
      <c r="O34" s="134" t="s">
        <v>2435</v>
      </c>
    </row>
    <row r="35" spans="2:15" ht="25.5" customHeight="1">
      <c r="B35" s="49">
        <v>366</v>
      </c>
      <c r="C35" s="192" t="str">
        <f ca="1">VLOOKUP( $B35, Aop!$A$2:$P$456, 5, 1)</f>
        <v>613, dio 610</v>
      </c>
      <c r="D35" s="563" t="str">
        <f ca="1">VLOOKUP( $B35, Aop!$A$2:$P$456, 6, 1)</f>
        <v>Prihodi od prodaje učinaka u Brčko Distriktu BiH i prihodi od prodaje učinaka povezanim pravnim licima u BD</v>
      </c>
      <c r="E35" s="564"/>
      <c r="F35" s="564"/>
      <c r="G35" s="564"/>
      <c r="H35" s="565"/>
      <c r="I35" s="193">
        <f ca="1">VLOOKUP( $B35, Aop!$A$2:$P$456, 4, 1)</f>
        <v>615</v>
      </c>
      <c r="J35" s="153"/>
      <c r="K35" s="153"/>
      <c r="O35" s="134" t="s">
        <v>2435</v>
      </c>
    </row>
    <row r="36" spans="2:15" ht="12.75" customHeight="1">
      <c r="B36" s="49">
        <v>367</v>
      </c>
      <c r="C36" s="191" t="str">
        <f ca="1">VLOOKUP( $B36, Aop!$A$2:$P$456, 5, 1)</f>
        <v>dio 611</v>
      </c>
      <c r="D36" s="557" t="str">
        <f ca="1">VLOOKUP( $B36, Aop!$A$2:$P$456, 6, 1)</f>
        <v>Prihodi od prodaje usluga u Republici Srpskoj</v>
      </c>
      <c r="E36" s="558"/>
      <c r="F36" s="558"/>
      <c r="G36" s="558"/>
      <c r="H36" s="559"/>
      <c r="I36" s="123">
        <f ca="1">VLOOKUP( $B36, Aop!$A$2:$P$456, 4, 1)</f>
        <v>616</v>
      </c>
      <c r="J36" s="153"/>
      <c r="K36" s="153"/>
      <c r="O36" s="27"/>
    </row>
    <row r="37" spans="2:15" ht="12.75" customHeight="1">
      <c r="B37" s="49">
        <v>368</v>
      </c>
      <c r="C37" s="192" t="str">
        <f ca="1">VLOOKUP( $B37, Aop!$A$2:$P$456, 5, 1)</f>
        <v>dio 612</v>
      </c>
      <c r="D37" s="563" t="str">
        <f ca="1">VLOOKUP( $B37, Aop!$A$2:$P$456, 6, 1)</f>
        <v>Prihodi od prodaje usluga u Federaciji BiH</v>
      </c>
      <c r="E37" s="564"/>
      <c r="F37" s="564"/>
      <c r="G37" s="564"/>
      <c r="H37" s="565"/>
      <c r="I37" s="193">
        <f ca="1">VLOOKUP( $B37, Aop!$A$2:$P$456, 4, 1)</f>
        <v>617</v>
      </c>
      <c r="J37" s="153"/>
      <c r="K37" s="153"/>
      <c r="O37" s="27"/>
    </row>
    <row r="38" spans="2:15" ht="12.75" customHeight="1">
      <c r="B38" s="49">
        <v>369</v>
      </c>
      <c r="C38" s="191" t="str">
        <f ca="1">VLOOKUP( $B38, Aop!$A$2:$P$456, 5, 1)</f>
        <v>dio 613</v>
      </c>
      <c r="D38" s="557" t="str">
        <f ca="1">VLOOKUP( $B38, Aop!$A$2:$P$456, 6, 1)</f>
        <v>Prihodi od prodaje usluga u Brčko Distriktu BiH</v>
      </c>
      <c r="E38" s="558"/>
      <c r="F38" s="558"/>
      <c r="G38" s="558"/>
      <c r="H38" s="559"/>
      <c r="I38" s="123">
        <f ca="1">VLOOKUP( $B38, Aop!$A$2:$P$456, 4, 1)</f>
        <v>618</v>
      </c>
      <c r="J38" s="153"/>
      <c r="K38" s="153"/>
      <c r="O38" s="27"/>
    </row>
    <row r="39" spans="2:15" ht="12.75" customHeight="1">
      <c r="B39" s="49">
        <v>370</v>
      </c>
      <c r="C39" s="167">
        <f ca="1">VLOOKUP( $B39, Aop!$A$2:$P$456, 5, 1)</f>
        <v>65</v>
      </c>
      <c r="D39" s="584" t="str">
        <f ca="1">VLOOKUP( $B39, Aop!$A$2:$P$456, 6, 1)</f>
        <v>OSTALI POSLOVNI PRIHODI (620 + 623 + 624 + 625 + 626 + 627 + 628)</v>
      </c>
      <c r="E39" s="585"/>
      <c r="F39" s="585"/>
      <c r="G39" s="585"/>
      <c r="H39" s="586"/>
      <c r="I39" s="188">
        <f ca="1">VLOOKUP( $B39, Aop!$A$2:$P$456, 4, 1)</f>
        <v>619</v>
      </c>
      <c r="J39" s="153">
        <f>SUBTOTAL( 9, J40, J43:J48)</f>
        <v>33608</v>
      </c>
      <c r="K39" s="153">
        <f>SUBTOTAL( 9, K40, K43:K48)</f>
        <v>27960</v>
      </c>
      <c r="O39" s="27"/>
    </row>
    <row r="40" spans="2:15" ht="12.75" customHeight="1">
      <c r="B40" s="49">
        <v>371</v>
      </c>
      <c r="C40" s="191">
        <f ca="1">VLOOKUP( $B40, Aop!$A$2:$P$456, 5, 1)</f>
        <v>650</v>
      </c>
      <c r="D40" s="557" t="str">
        <f ca="1">VLOOKUP( $B40, Aop!$A$2:$P$456, 6, 1)</f>
        <v xml:space="preserve">  a) Prihodi od premija, subvencija, dotacija, regresa, podsticaja i slično</v>
      </c>
      <c r="E40" s="558"/>
      <c r="F40" s="558"/>
      <c r="G40" s="558"/>
      <c r="H40" s="559"/>
      <c r="I40" s="123">
        <f ca="1">VLOOKUP( $B40, Aop!$A$2:$P$456, 4, 1)</f>
        <v>620</v>
      </c>
      <c r="J40" s="153"/>
      <c r="K40" s="153"/>
      <c r="O40" s="27"/>
    </row>
    <row r="41" spans="2:15" ht="25.5" customHeight="1">
      <c r="B41" s="49">
        <v>372</v>
      </c>
      <c r="C41" s="192" t="str">
        <f ca="1">VLOOKUP( $B41, Aop!$A$2:$P$456, 5, 1)</f>
        <v>dio 650</v>
      </c>
      <c r="D41" s="563" t="str">
        <f ca="1">VLOOKUP( $B41, Aop!$A$2:$P$456, 6, 1)</f>
        <v xml:space="preserve">    Od toga: prihodi po osnovu subvencija na proizvode (subvencije koje se mogu prikazati po jedinici proizvoda, npr. vozna karta, brašno, hljeb, mlijeko i dr.)</v>
      </c>
      <c r="E41" s="564"/>
      <c r="F41" s="564"/>
      <c r="G41" s="564"/>
      <c r="H41" s="565"/>
      <c r="I41" s="193">
        <f ca="1">VLOOKUP( $B41, Aop!$A$2:$P$456, 4, 1)</f>
        <v>621</v>
      </c>
      <c r="J41" s="153"/>
      <c r="K41" s="153"/>
      <c r="O41" s="134" t="s">
        <v>2435</v>
      </c>
    </row>
    <row r="42" spans="2:15" ht="25.5" customHeight="1">
      <c r="B42" s="49">
        <v>373</v>
      </c>
      <c r="C42" s="191" t="str">
        <f ca="1">VLOOKUP( $B42, Aop!$A$2:$P$456, 5, 1)</f>
        <v>dio 650</v>
      </c>
      <c r="D42" s="557" t="str">
        <f ca="1">VLOOKUP( $B42, Aop!$A$2:$P$456, 6, 1)</f>
        <v xml:space="preserve">    Od toga: prihodi po osnovu subvencija na proizvodnju (na zapošljavanje, platu, kamatnu stopu, za smanjenje zagađenja i dr.)</v>
      </c>
      <c r="E42" s="558"/>
      <c r="F42" s="558"/>
      <c r="G42" s="558"/>
      <c r="H42" s="559"/>
      <c r="I42" s="123">
        <f ca="1">VLOOKUP( $B42, Aop!$A$2:$P$456, 4, 1)</f>
        <v>622</v>
      </c>
      <c r="J42" s="153"/>
      <c r="K42" s="153"/>
      <c r="O42" s="134" t="s">
        <v>2435</v>
      </c>
    </row>
    <row r="43" spans="2:15" ht="12.75" customHeight="1">
      <c r="B43" s="49">
        <v>374</v>
      </c>
      <c r="C43" s="192">
        <f ca="1">VLOOKUP( $B43, Aop!$A$2:$P$456, 5, 1)</f>
        <v>651</v>
      </c>
      <c r="D43" s="563" t="str">
        <f ca="1">VLOOKUP( $B43, Aop!$A$2:$P$456, 6, 1)</f>
        <v xml:space="preserve">  b) Prihod od zakupnina</v>
      </c>
      <c r="E43" s="564"/>
      <c r="F43" s="564"/>
      <c r="G43" s="564"/>
      <c r="H43" s="565"/>
      <c r="I43" s="193">
        <f ca="1">VLOOKUP( $B43, Aop!$A$2:$P$456, 4, 1)</f>
        <v>623</v>
      </c>
      <c r="J43" s="153">
        <v>16691</v>
      </c>
      <c r="K43" s="153">
        <v>16158</v>
      </c>
      <c r="O43" s="27"/>
    </row>
    <row r="44" spans="2:15" ht="12.75" customHeight="1">
      <c r="B44" s="49">
        <v>375</v>
      </c>
      <c r="C44" s="191">
        <f ca="1">VLOOKUP( $B44, Aop!$A$2:$P$456, 5, 1)</f>
        <v>652</v>
      </c>
      <c r="D44" s="557" t="str">
        <f ca="1">VLOOKUP( $B44, Aop!$A$2:$P$456, 6, 1)</f>
        <v xml:space="preserve">  c) Prihod od donacija</v>
      </c>
      <c r="E44" s="558"/>
      <c r="F44" s="558"/>
      <c r="G44" s="558"/>
      <c r="H44" s="559"/>
      <c r="I44" s="123">
        <f ca="1">VLOOKUP( $B44, Aop!$A$2:$P$456, 4, 1)</f>
        <v>624</v>
      </c>
      <c r="J44" s="153"/>
      <c r="K44" s="153"/>
      <c r="O44" s="27"/>
    </row>
    <row r="45" spans="2:15" ht="12.75" customHeight="1">
      <c r="B45" s="49">
        <v>376</v>
      </c>
      <c r="C45" s="192">
        <f ca="1">VLOOKUP( $B45, Aop!$A$2:$P$456, 5, 1)</f>
        <v>653</v>
      </c>
      <c r="D45" s="563" t="str">
        <f ca="1">VLOOKUP( $B45, Aop!$A$2:$P$456, 6, 1)</f>
        <v xml:space="preserve">  d) Prihod od članarina</v>
      </c>
      <c r="E45" s="564"/>
      <c r="F45" s="564"/>
      <c r="G45" s="564"/>
      <c r="H45" s="565"/>
      <c r="I45" s="193">
        <f ca="1">VLOOKUP( $B45, Aop!$A$2:$P$456, 4, 1)</f>
        <v>625</v>
      </c>
      <c r="J45" s="153"/>
      <c r="K45" s="153"/>
      <c r="O45" s="27"/>
    </row>
    <row r="46" spans="2:15" ht="12.75" customHeight="1">
      <c r="B46" s="49">
        <v>377</v>
      </c>
      <c r="C46" s="191">
        <f ca="1">VLOOKUP( $B46, Aop!$A$2:$P$456, 5, 1)</f>
        <v>654</v>
      </c>
      <c r="D46" s="557" t="str">
        <f ca="1">VLOOKUP( $B46, Aop!$A$2:$P$456, 6, 1)</f>
        <v xml:space="preserve">  e) Prihod od tantijema i licencnih prava</v>
      </c>
      <c r="E46" s="558"/>
      <c r="F46" s="558"/>
      <c r="G46" s="558"/>
      <c r="H46" s="559"/>
      <c r="I46" s="123">
        <f ca="1">VLOOKUP( $B46, Aop!$A$2:$P$456, 4, 1)</f>
        <v>626</v>
      </c>
      <c r="J46" s="153"/>
      <c r="K46" s="153"/>
      <c r="O46" s="27"/>
    </row>
    <row r="47" spans="2:15" ht="12.75" customHeight="1">
      <c r="B47" s="49">
        <v>378</v>
      </c>
      <c r="C47" s="192">
        <f ca="1">VLOOKUP( $B47, Aop!$A$2:$P$456, 5, 1)</f>
        <v>655</v>
      </c>
      <c r="D47" s="563" t="str">
        <f ca="1">VLOOKUP( $B47, Aop!$A$2:$P$456, 6, 1)</f>
        <v xml:space="preserve">  f) Prihod iz namjenskih izvora finansiranja (iz budžeta, fondova i dr.)</v>
      </c>
      <c r="E47" s="564"/>
      <c r="F47" s="564"/>
      <c r="G47" s="564"/>
      <c r="H47" s="565"/>
      <c r="I47" s="193">
        <f ca="1">VLOOKUP( $B47, Aop!$A$2:$P$456, 4, 1)</f>
        <v>627</v>
      </c>
      <c r="J47" s="153">
        <v>16762</v>
      </c>
      <c r="K47" s="153">
        <v>11802</v>
      </c>
      <c r="O47" s="27"/>
    </row>
    <row r="48" spans="2:15" ht="12.75" customHeight="1">
      <c r="B48" s="49">
        <v>379</v>
      </c>
      <c r="C48" s="191">
        <f ca="1">VLOOKUP( $B48, Aop!$A$2:$P$456, 5, 1)</f>
        <v>659</v>
      </c>
      <c r="D48" s="557" t="str">
        <f ca="1">VLOOKUP( $B48, Aop!$A$2:$P$456, 6, 1)</f>
        <v xml:space="preserve">  g) Ostali poslovni prihodi po drugim osnovima</v>
      </c>
      <c r="E48" s="558"/>
      <c r="F48" s="558"/>
      <c r="G48" s="558"/>
      <c r="H48" s="559"/>
      <c r="I48" s="123">
        <f ca="1">VLOOKUP( $B48, Aop!$A$2:$P$456, 4, 1)</f>
        <v>628</v>
      </c>
      <c r="J48" s="153">
        <v>155</v>
      </c>
      <c r="K48" s="153"/>
      <c r="O48" s="27"/>
    </row>
    <row r="49" spans="2:15" ht="12.75" customHeight="1">
      <c r="B49" s="49">
        <v>380</v>
      </c>
      <c r="C49" s="167" t="str">
        <f ca="1">VLOOKUP( $B49, Aop!$A$2:$P$456, 5, 1)</f>
        <v>66 + 67</v>
      </c>
      <c r="D49" s="584" t="str">
        <f ca="1">VLOOKUP( $B49, Aop!$A$2:$P$456, 6, 1)</f>
        <v>FINANSIJSKI I OSTALI PRIHODI</v>
      </c>
      <c r="E49" s="585"/>
      <c r="F49" s="585"/>
      <c r="G49" s="585"/>
      <c r="H49" s="586"/>
      <c r="I49" s="188">
        <f ca="1">VLOOKUP( $B49, Aop!$A$2:$P$456, 4, 1)</f>
        <v>629</v>
      </c>
      <c r="J49" s="153">
        <v>4968</v>
      </c>
      <c r="K49" s="153">
        <v>537296</v>
      </c>
      <c r="O49" s="27"/>
    </row>
    <row r="50" spans="2:15" ht="12.75" customHeight="1">
      <c r="B50" s="49">
        <v>381</v>
      </c>
      <c r="C50" s="191" t="str">
        <f ca="1">VLOOKUP( $B50, Aop!$A$2:$P$456, 5, 1)</f>
        <v>dio 660</v>
      </c>
      <c r="D50" s="557" t="str">
        <f ca="1">VLOOKUP( $B50, Aop!$A$2:$P$456, 6, 1)</f>
        <v xml:space="preserve">    Od toga: prihodi od učešća u dobiti (dividendi)</v>
      </c>
      <c r="E50" s="558"/>
      <c r="F50" s="558"/>
      <c r="G50" s="558"/>
      <c r="H50" s="559"/>
      <c r="I50" s="123">
        <f ca="1">VLOOKUP( $B50, Aop!$A$2:$P$456, 4, 1)</f>
        <v>630</v>
      </c>
      <c r="J50" s="153">
        <v>17085001</v>
      </c>
      <c r="K50" s="153">
        <v>500000</v>
      </c>
      <c r="O50" s="27"/>
    </row>
    <row r="51" spans="2:15" ht="12.75" customHeight="1">
      <c r="B51" s="49">
        <v>382</v>
      </c>
      <c r="C51" s="192" t="str">
        <f ca="1">VLOOKUP( $B51, Aop!$A$2:$P$456, 5, 1)</f>
        <v>dio 670</v>
      </c>
      <c r="D51" s="563" t="str">
        <f ca="1">VLOOKUP( $B51, Aop!$A$2:$P$456, 6, 1)</f>
        <v xml:space="preserve">  Dobici po osnovu prodaje nekretnina, postrojenja i opreme</v>
      </c>
      <c r="E51" s="564"/>
      <c r="F51" s="564"/>
      <c r="G51" s="564"/>
      <c r="H51" s="565"/>
      <c r="I51" s="193">
        <f ca="1">VLOOKUP( $B51, Aop!$A$2:$P$456, 4, 1)</f>
        <v>631</v>
      </c>
      <c r="J51" s="153">
        <v>11450</v>
      </c>
      <c r="K51" s="153"/>
      <c r="O51" s="56"/>
    </row>
    <row r="52" spans="2:15" ht="12.75" customHeight="1">
      <c r="B52" s="49">
        <v>383</v>
      </c>
      <c r="C52" s="191">
        <f ca="1">VLOOKUP( $B52, Aop!$A$2:$P$456, 5, 1)</f>
        <v>678</v>
      </c>
      <c r="D52" s="557" t="str">
        <f ca="1">VLOOKUP( $B52, Aop!$A$2:$P$456, 6, 1)</f>
        <v xml:space="preserve">  Prihodi po osnovu ugovorene zaštite od rizika koji ne ispunjavaju uslove da se iskažu u okviru revalorizacionih rezervi</v>
      </c>
      <c r="E52" s="558"/>
      <c r="F52" s="558"/>
      <c r="G52" s="558"/>
      <c r="H52" s="559"/>
      <c r="I52" s="123">
        <f ca="1">VLOOKUP( $B52, Aop!$A$2:$P$456, 4, 1)</f>
        <v>632</v>
      </c>
      <c r="J52" s="153"/>
      <c r="K52" s="153"/>
      <c r="O52" s="27"/>
    </row>
    <row r="53" spans="2:15" ht="12.75" customHeight="1">
      <c r="B53" s="49">
        <v>384</v>
      </c>
      <c r="C53" s="167">
        <f ca="1">VLOOKUP( $B53, Aop!$A$2:$P$456, 5, 1)</f>
        <v>51</v>
      </c>
      <c r="D53" s="584" t="str">
        <f ca="1">VLOOKUP( $B53, Aop!$A$2:$P$456, 6, 1)</f>
        <v>TROŠKOVI MATERIJALA</v>
      </c>
      <c r="E53" s="585"/>
      <c r="F53" s="585"/>
      <c r="G53" s="585"/>
      <c r="H53" s="586"/>
      <c r="I53" s="188">
        <f ca="1">VLOOKUP( $B53, Aop!$A$2:$P$456, 4, 1)</f>
        <v>633</v>
      </c>
      <c r="J53" s="153">
        <v>68103</v>
      </c>
      <c r="K53" s="153">
        <v>10459</v>
      </c>
      <c r="O53" s="27"/>
    </row>
    <row r="54" spans="2:15" ht="12.75" customHeight="1">
      <c r="B54" s="49">
        <v>385</v>
      </c>
      <c r="C54" s="191">
        <f ca="1">VLOOKUP( $B54, Aop!$A$2:$P$456, 5, 1)</f>
        <v>513</v>
      </c>
      <c r="D54" s="557" t="str">
        <f ca="1">VLOOKUP( $B54, Aop!$A$2:$P$456, 6, 1)</f>
        <v xml:space="preserve">    Od toga: troškovi goriva i energije</v>
      </c>
      <c r="E54" s="558"/>
      <c r="F54" s="558"/>
      <c r="G54" s="558"/>
      <c r="H54" s="559"/>
      <c r="I54" s="123">
        <f ca="1">VLOOKUP( $B54, Aop!$A$2:$P$456, 4, 1)</f>
        <v>634</v>
      </c>
      <c r="J54" s="153">
        <v>52128</v>
      </c>
      <c r="K54" s="153">
        <v>12056</v>
      </c>
      <c r="O54" s="27"/>
    </row>
    <row r="55" spans="2:15" ht="12.75" customHeight="1">
      <c r="B55" s="49">
        <v>386</v>
      </c>
      <c r="C55" s="167">
        <f ca="1">VLOOKUP( $B55, Aop!$A$2:$P$456, 5, 1)</f>
        <v>52</v>
      </c>
      <c r="D55" s="584" t="str">
        <f ca="1">VLOOKUP( $B55, Aop!$A$2:$P$456, 6, 1)</f>
        <v>TROŠKOVI ZARADA, NAKNADA ZARADA I OSTALIH LIČNIH RASHODA</v>
      </c>
      <c r="E55" s="585"/>
      <c r="F55" s="585"/>
      <c r="G55" s="585"/>
      <c r="H55" s="586"/>
      <c r="I55" s="188">
        <f ca="1">VLOOKUP( $B55, Aop!$A$2:$P$456, 4, 1)</f>
        <v>635</v>
      </c>
      <c r="J55" s="153">
        <v>596523</v>
      </c>
      <c r="K55" s="153">
        <v>606175</v>
      </c>
      <c r="O55" s="27"/>
    </row>
    <row r="56" spans="2:15" ht="12.75" customHeight="1">
      <c r="B56" s="49">
        <v>387</v>
      </c>
      <c r="C56" s="191" t="str">
        <f ca="1">VLOOKUP( $B56, Aop!$A$2:$P$456, 5, 1)</f>
        <v>522 + 523</v>
      </c>
      <c r="D56" s="557" t="str">
        <f ca="1">VLOOKUP( $B56, Aop!$A$2:$P$456, 6, 1)</f>
        <v xml:space="preserve">  Troškovi bruto naknada članovima upravnog, nadzornog, odbora za reviziju i dr.</v>
      </c>
      <c r="E56" s="558"/>
      <c r="F56" s="558"/>
      <c r="G56" s="558"/>
      <c r="H56" s="559"/>
      <c r="I56" s="123">
        <f ca="1">VLOOKUP( $B56, Aop!$A$2:$P$456, 4, 1)</f>
        <v>636</v>
      </c>
      <c r="J56" s="153">
        <v>11994</v>
      </c>
      <c r="K56" s="153">
        <v>11904</v>
      </c>
      <c r="O56" s="27"/>
    </row>
    <row r="57" spans="2:15" ht="12.75" customHeight="1">
      <c r="B57" s="49">
        <v>388</v>
      </c>
      <c r="C57" s="192">
        <f ca="1">VLOOKUP( $B57, Aop!$A$2:$P$456, 5, 1)</f>
        <v>525</v>
      </c>
      <c r="D57" s="563" t="str">
        <f ca="1">VLOOKUP( $B57, Aop!$A$2:$P$456, 6, 1)</f>
        <v xml:space="preserve">  Troškovi zaposlenih na službenom putu</v>
      </c>
      <c r="E57" s="564"/>
      <c r="F57" s="564"/>
      <c r="G57" s="564"/>
      <c r="H57" s="565"/>
      <c r="I57" s="193">
        <f ca="1">VLOOKUP( $B57, Aop!$A$2:$P$456, 4, 1)</f>
        <v>637</v>
      </c>
      <c r="J57" s="153">
        <v>5597</v>
      </c>
      <c r="K57" s="153">
        <v>719</v>
      </c>
      <c r="O57" s="27"/>
    </row>
    <row r="58" spans="2:15">
      <c r="B58" s="49">
        <v>389</v>
      </c>
      <c r="C58" s="191" t="str">
        <f ca="1">VLOOKUP( $B58, Aop!$A$2:$P$456, 5, 1)</f>
        <v>dio 525</v>
      </c>
      <c r="D58" s="557" t="str">
        <f ca="1">VLOOKUP( $B58, Aop!$A$2:$P$456, 6, 1)</f>
        <v xml:space="preserve">    Od toga: dnevnice</v>
      </c>
      <c r="E58" s="558"/>
      <c r="F58" s="558"/>
      <c r="G58" s="558"/>
      <c r="H58" s="559"/>
      <c r="I58" s="123">
        <f ca="1">VLOOKUP( $B58, Aop!$A$2:$P$456, 4, 1)</f>
        <v>638</v>
      </c>
      <c r="J58" s="153">
        <v>1341</v>
      </c>
      <c r="K58" s="153">
        <v>353</v>
      </c>
      <c r="O58" s="27"/>
    </row>
    <row r="59" spans="2:15" ht="12.75" customHeight="1">
      <c r="B59" s="49">
        <v>390</v>
      </c>
      <c r="C59" s="167">
        <f ca="1">VLOOKUP( $B59, Aop!$A$2:$P$456, 5, 1)</f>
        <v>53</v>
      </c>
      <c r="D59" s="584" t="str">
        <f ca="1">VLOOKUP( $B59, Aop!$A$2:$P$456, 6, 1)</f>
        <v>TROŠKOVI PROIZVODNIH USLUGA (640 + 641 + 642 + 643 + 644 + 645 + 646 + 647)</v>
      </c>
      <c r="E59" s="585"/>
      <c r="F59" s="585"/>
      <c r="G59" s="585"/>
      <c r="H59" s="586"/>
      <c r="I59" s="188">
        <f ca="1">VLOOKUP( $B59, Aop!$A$2:$P$456, 4, 1)</f>
        <v>639</v>
      </c>
      <c r="J59" s="153">
        <f>SUBTOTAL( 9, J60:J67)</f>
        <v>1033451</v>
      </c>
      <c r="K59" s="153">
        <f>SUBTOTAL( 9, K60:K67)</f>
        <v>139934</v>
      </c>
      <c r="O59" s="27"/>
    </row>
    <row r="60" spans="2:15" ht="12.75" customHeight="1">
      <c r="B60" s="49">
        <v>391</v>
      </c>
      <c r="C60" s="191">
        <f ca="1">VLOOKUP( $B60, Aop!$A$2:$P$456, 5, 1)</f>
        <v>530</v>
      </c>
      <c r="D60" s="557" t="str">
        <f ca="1">VLOOKUP( $B60, Aop!$A$2:$P$456, 6, 1)</f>
        <v xml:space="preserve">  a) Troškovi usluga na izradi učinaka</v>
      </c>
      <c r="E60" s="558"/>
      <c r="F60" s="558"/>
      <c r="G60" s="558"/>
      <c r="H60" s="559"/>
      <c r="I60" s="123">
        <f ca="1">VLOOKUP( $B60, Aop!$A$2:$P$456, 4, 1)</f>
        <v>640</v>
      </c>
      <c r="J60" s="153"/>
      <c r="K60" s="153"/>
      <c r="O60" s="27"/>
    </row>
    <row r="61" spans="2:15" ht="12.75" customHeight="1">
      <c r="B61" s="49">
        <v>392</v>
      </c>
      <c r="C61" s="192">
        <f ca="1">VLOOKUP( $B61, Aop!$A$2:$P$456, 5, 1)</f>
        <v>531</v>
      </c>
      <c r="D61" s="563" t="str">
        <f ca="1">VLOOKUP( $B61, Aop!$A$2:$P$456, 6, 1)</f>
        <v xml:space="preserve">  b) Troškovi transportnih usluga</v>
      </c>
      <c r="E61" s="564"/>
      <c r="F61" s="564"/>
      <c r="G61" s="564"/>
      <c r="H61" s="565"/>
      <c r="I61" s="193">
        <f ca="1">VLOOKUP( $B61, Aop!$A$2:$P$456, 4, 1)</f>
        <v>641</v>
      </c>
      <c r="J61" s="153">
        <v>520870</v>
      </c>
      <c r="K61" s="153">
        <v>4550</v>
      </c>
      <c r="O61" s="27"/>
    </row>
    <row r="62" spans="2:15" ht="12.75" customHeight="1">
      <c r="B62" s="49">
        <v>393</v>
      </c>
      <c r="C62" s="191" t="str">
        <f ca="1">VLOOKUP( $B62, Aop!$A$2:$P$456, 5, 1)</f>
        <v>dio 532</v>
      </c>
      <c r="D62" s="557" t="str">
        <f ca="1">VLOOKUP( $B62, Aop!$A$2:$P$456, 6, 1)</f>
        <v xml:space="preserve">  v) Troškovi za usluge tekućeg održavanja osnovnih sredstava</v>
      </c>
      <c r="E62" s="558"/>
      <c r="F62" s="558"/>
      <c r="G62" s="558"/>
      <c r="H62" s="559"/>
      <c r="I62" s="123">
        <f ca="1">VLOOKUP( $B62, Aop!$A$2:$P$456, 4, 1)</f>
        <v>642</v>
      </c>
      <c r="J62" s="153">
        <v>34964</v>
      </c>
      <c r="K62" s="153">
        <v>12039</v>
      </c>
      <c r="O62" s="27"/>
    </row>
    <row r="63" spans="2:15" ht="12.75" customHeight="1">
      <c r="B63" s="49">
        <v>394</v>
      </c>
      <c r="C63" s="192" t="str">
        <f ca="1">VLOOKUP( $B63, Aop!$A$2:$P$456, 5, 1)</f>
        <v>dio 532</v>
      </c>
      <c r="D63" s="563" t="str">
        <f ca="1">VLOOKUP( $B63, Aop!$A$2:$P$456, 6, 1)</f>
        <v xml:space="preserve">  g) Troškovi za usluge investicionog održavanja osnovnih sredstava</v>
      </c>
      <c r="E63" s="564"/>
      <c r="F63" s="564"/>
      <c r="G63" s="564"/>
      <c r="H63" s="565"/>
      <c r="I63" s="193">
        <f ca="1">VLOOKUP( $B63, Aop!$A$2:$P$456, 4, 1)</f>
        <v>643</v>
      </c>
      <c r="J63" s="153"/>
      <c r="K63" s="153"/>
      <c r="O63" s="27"/>
    </row>
    <row r="64" spans="2:15">
      <c r="B64" s="49">
        <v>395</v>
      </c>
      <c r="C64" s="191">
        <f ca="1">VLOOKUP( $B64, Aop!$A$2:$P$456, 5, 1)</f>
        <v>533</v>
      </c>
      <c r="D64" s="557" t="str">
        <f ca="1">VLOOKUP( $B64, Aop!$A$2:$P$456, 6, 1)</f>
        <v xml:space="preserve">  d) Troškovi zakupa</v>
      </c>
      <c r="E64" s="558"/>
      <c r="F64" s="558"/>
      <c r="G64" s="558"/>
      <c r="H64" s="559"/>
      <c r="I64" s="123">
        <f ca="1">VLOOKUP( $B64, Aop!$A$2:$P$456, 4, 1)</f>
        <v>644</v>
      </c>
      <c r="J64" s="153">
        <v>234</v>
      </c>
      <c r="K64" s="153"/>
      <c r="O64" s="27"/>
    </row>
    <row r="65" spans="2:15" ht="12.75" customHeight="1">
      <c r="B65" s="49">
        <v>396</v>
      </c>
      <c r="C65" s="192" t="str">
        <f ca="1">VLOOKUP( $B65, Aop!$A$2:$P$456, 5, 1)</f>
        <v>534 + 535</v>
      </c>
      <c r="D65" s="563" t="str">
        <f ca="1">VLOOKUP( $B65, Aop!$A$2:$P$456, 6, 1)</f>
        <v xml:space="preserve">  đ) Troškovi sajmova, reklame i propagande</v>
      </c>
      <c r="E65" s="564"/>
      <c r="F65" s="564"/>
      <c r="G65" s="564"/>
      <c r="H65" s="565"/>
      <c r="I65" s="193">
        <f ca="1">VLOOKUP( $B65, Aop!$A$2:$P$456, 4, 1)</f>
        <v>645</v>
      </c>
      <c r="J65" s="153">
        <v>25997</v>
      </c>
      <c r="K65" s="153">
        <v>122000</v>
      </c>
      <c r="O65" s="27"/>
    </row>
    <row r="66" spans="2:15" ht="12.75" customHeight="1">
      <c r="B66" s="49">
        <v>397</v>
      </c>
      <c r="C66" s="191" t="str">
        <f ca="1">VLOOKUP( $B66, Aop!$A$2:$P$456, 5, 1)</f>
        <v>536 + 537</v>
      </c>
      <c r="D66" s="557" t="str">
        <f ca="1">VLOOKUP( $B66, Aop!$A$2:$P$456, 6, 1)</f>
        <v xml:space="preserve">  e) Troškovi istraživanja i razvoja koji se ne kapitalizuju</v>
      </c>
      <c r="E66" s="558"/>
      <c r="F66" s="558"/>
      <c r="G66" s="558"/>
      <c r="H66" s="559"/>
      <c r="I66" s="123">
        <f ca="1">VLOOKUP( $B66, Aop!$A$2:$P$456, 4, 1)</f>
        <v>646</v>
      </c>
      <c r="J66" s="153"/>
      <c r="K66" s="153"/>
      <c r="O66" s="27"/>
    </row>
    <row r="67" spans="2:15" ht="12.75" customHeight="1">
      <c r="B67" s="49">
        <v>398</v>
      </c>
      <c r="C67" s="192">
        <f ca="1">VLOOKUP( $B67, Aop!$A$2:$P$456, 5, 1)</f>
        <v>539</v>
      </c>
      <c r="D67" s="563" t="str">
        <f ca="1">VLOOKUP( $B67, Aop!$A$2:$P$456, 6, 1)</f>
        <v xml:space="preserve">  ž) Troškovi ostalih usluga</v>
      </c>
      <c r="E67" s="564"/>
      <c r="F67" s="564"/>
      <c r="G67" s="564"/>
      <c r="H67" s="565"/>
      <c r="I67" s="193">
        <f ca="1">VLOOKUP( $B67, Aop!$A$2:$P$456, 4, 1)</f>
        <v>647</v>
      </c>
      <c r="J67" s="153">
        <v>451386</v>
      </c>
      <c r="K67" s="153">
        <v>1345</v>
      </c>
      <c r="O67" s="27"/>
    </row>
    <row r="68" spans="2:15" ht="12.75" customHeight="1">
      <c r="B68" s="49">
        <v>399</v>
      </c>
      <c r="C68" s="191" t="str">
        <f ca="1">VLOOKUP( $B68, Aop!$A$2:$P$456, 5, 1)</f>
        <v>dio 539</v>
      </c>
      <c r="D68" s="557" t="str">
        <f ca="1">VLOOKUP( $B68, Aop!$A$2:$P$456, 6, 1)</f>
        <v xml:space="preserve">    Od toga: bruto iznosi naknada po ugovorima sa fizičkim licima van radnog odnosa</v>
      </c>
      <c r="E68" s="558"/>
      <c r="F68" s="558"/>
      <c r="G68" s="558"/>
      <c r="H68" s="559"/>
      <c r="I68" s="123">
        <f ca="1">VLOOKUP( $B68, Aop!$A$2:$P$456, 4, 1)</f>
        <v>648</v>
      </c>
      <c r="J68" s="153"/>
      <c r="K68" s="153"/>
      <c r="O68" s="27"/>
    </row>
    <row r="69" spans="2:15" ht="12.75" customHeight="1">
      <c r="B69" s="49">
        <v>400</v>
      </c>
      <c r="C69" s="167">
        <f ca="1">VLOOKUP( $B69, Aop!$A$2:$P$456, 5, 1)</f>
        <v>55</v>
      </c>
      <c r="D69" s="584" t="str">
        <f ca="1">VLOOKUP( $B69, Aop!$A$2:$P$456, 6, 1)</f>
        <v>NEMATERIJALNI TROŠKOVI (650 + 653 + 654 + 655 + 656 + 657 + 658 + 659)</v>
      </c>
      <c r="E69" s="585"/>
      <c r="F69" s="585"/>
      <c r="G69" s="585"/>
      <c r="H69" s="586"/>
      <c r="I69" s="188">
        <f ca="1">VLOOKUP( $B69, Aop!$A$2:$P$456, 4, 1)</f>
        <v>649</v>
      </c>
      <c r="J69" s="32">
        <f>SUBTOTAL( 9, J70, J73:J79)</f>
        <v>181036</v>
      </c>
      <c r="K69" s="65">
        <f>SUBTOTAL( 9, K70, K73:K79)</f>
        <v>88719</v>
      </c>
      <c r="O69" s="27"/>
    </row>
    <row r="70" spans="2:15" ht="12.75" customHeight="1">
      <c r="B70" s="49">
        <v>401</v>
      </c>
      <c r="C70" s="191">
        <f ca="1">VLOOKUP( $B70, Aop!$A$2:$P$456, 5, 1)</f>
        <v>550</v>
      </c>
      <c r="D70" s="557" t="str">
        <f ca="1">VLOOKUP( $B70, Aop!$A$2:$P$456, 6, 1)</f>
        <v xml:space="preserve">  a) Troškovi neproizvodnih usluga</v>
      </c>
      <c r="E70" s="558"/>
      <c r="F70" s="558"/>
      <c r="G70" s="558"/>
      <c r="H70" s="559"/>
      <c r="I70" s="123">
        <f ca="1">VLOOKUP( $B70, Aop!$A$2:$P$456, 4, 1)</f>
        <v>650</v>
      </c>
      <c r="J70" s="153">
        <v>84370</v>
      </c>
      <c r="K70" s="153">
        <v>58112</v>
      </c>
      <c r="O70" s="27"/>
    </row>
    <row r="71" spans="2:15" ht="12.75" customHeight="1">
      <c r="B71" s="49">
        <v>402</v>
      </c>
      <c r="C71" s="192" t="str">
        <f ca="1">VLOOKUP( $B71, Aop!$A$2:$P$456, 5, 1)</f>
        <v>dio 550</v>
      </c>
      <c r="D71" s="563" t="str">
        <f ca="1">VLOOKUP( $B71, Aop!$A$2:$P$456, 6, 1)</f>
        <v xml:space="preserve">    Od toga: troškovi stručnog obrazovanja i usavršavanja zaposlenih</v>
      </c>
      <c r="E71" s="564"/>
      <c r="F71" s="564"/>
      <c r="G71" s="564"/>
      <c r="H71" s="565"/>
      <c r="I71" s="193">
        <f ca="1">VLOOKUP( $B71, Aop!$A$2:$P$456, 4, 1)</f>
        <v>651</v>
      </c>
      <c r="J71" s="153">
        <v>872</v>
      </c>
      <c r="K71" s="153">
        <v>256</v>
      </c>
      <c r="O71"/>
    </row>
    <row r="72" spans="2:15" ht="12.75" customHeight="1">
      <c r="B72" s="49">
        <v>403</v>
      </c>
      <c r="C72" s="191" t="str">
        <f ca="1">VLOOKUP( $B72, Aop!$A$2:$P$456, 5, 1)</f>
        <v>dio 550</v>
      </c>
      <c r="D72" s="557" t="str">
        <f ca="1">VLOOKUP( $B72, Aop!$A$2:$P$456, 6, 1)</f>
        <v xml:space="preserve">    Od toga: bruto iznosi naknada po ugovorima sa fizičkim licima van radnog odnosa</v>
      </c>
      <c r="E72" s="558"/>
      <c r="F72" s="558"/>
      <c r="G72" s="558"/>
      <c r="H72" s="559"/>
      <c r="I72" s="123">
        <f ca="1">VLOOKUP( $B72, Aop!$A$2:$P$456, 4, 1)</f>
        <v>652</v>
      </c>
      <c r="J72" s="153">
        <v>0</v>
      </c>
      <c r="K72" s="153"/>
      <c r="O72"/>
    </row>
    <row r="73" spans="2:15" ht="12.75" customHeight="1">
      <c r="B73" s="49">
        <v>404</v>
      </c>
      <c r="C73" s="192">
        <f ca="1">VLOOKUP( $B73, Aop!$A$2:$P$456, 5, 1)</f>
        <v>551</v>
      </c>
      <c r="D73" s="563" t="str">
        <f ca="1">VLOOKUP( $B73, Aop!$A$2:$P$456, 6, 1)</f>
        <v xml:space="preserve">  b) Troškovi reprezentacije</v>
      </c>
      <c r="E73" s="564"/>
      <c r="F73" s="564"/>
      <c r="G73" s="564"/>
      <c r="H73" s="565"/>
      <c r="I73" s="193">
        <f ca="1">VLOOKUP( $B73, Aop!$A$2:$P$456, 4, 1)</f>
        <v>653</v>
      </c>
      <c r="J73" s="153">
        <v>4655</v>
      </c>
      <c r="K73" s="153">
        <v>5873</v>
      </c>
      <c r="O73"/>
    </row>
    <row r="74" spans="2:15" ht="12.75" customHeight="1">
      <c r="B74" s="49">
        <v>405</v>
      </c>
      <c r="C74" s="191">
        <f ca="1">VLOOKUP( $B74, Aop!$A$2:$P$456, 5, 1)</f>
        <v>552</v>
      </c>
      <c r="D74" s="557" t="str">
        <f ca="1">VLOOKUP( $B74, Aop!$A$2:$P$456, 6, 1)</f>
        <v xml:space="preserve">  v) Troškovi premije osiguranja</v>
      </c>
      <c r="E74" s="558"/>
      <c r="F74" s="558"/>
      <c r="G74" s="558"/>
      <c r="H74" s="559"/>
      <c r="I74" s="123">
        <f ca="1">VLOOKUP( $B74, Aop!$A$2:$P$456, 4, 1)</f>
        <v>654</v>
      </c>
      <c r="J74" s="153">
        <v>5852</v>
      </c>
      <c r="K74" s="153">
        <v>4374</v>
      </c>
      <c r="O74" s="27"/>
    </row>
    <row r="75" spans="2:15" ht="12.75" customHeight="1">
      <c r="B75" s="49">
        <v>406</v>
      </c>
      <c r="C75" s="192">
        <f ca="1">VLOOKUP( $B75, Aop!$A$2:$P$456, 5, 1)</f>
        <v>553</v>
      </c>
      <c r="D75" s="563" t="str">
        <f ca="1">VLOOKUP( $B75, Aop!$A$2:$P$456, 6, 1)</f>
        <v xml:space="preserve">  g) Troškovi platnog prometa</v>
      </c>
      <c r="E75" s="564"/>
      <c r="F75" s="564"/>
      <c r="G75" s="564"/>
      <c r="H75" s="565"/>
      <c r="I75" s="193">
        <f ca="1">VLOOKUP( $B75, Aop!$A$2:$P$456, 4, 1)</f>
        <v>655</v>
      </c>
      <c r="J75" s="153">
        <v>3142</v>
      </c>
      <c r="K75" s="153">
        <v>1606</v>
      </c>
      <c r="O75" s="27"/>
    </row>
    <row r="76" spans="2:15" ht="12.75" customHeight="1">
      <c r="B76" s="49">
        <v>407</v>
      </c>
      <c r="C76" s="191">
        <f ca="1">VLOOKUP( $B76, Aop!$A$2:$P$456, 5, 1)</f>
        <v>554</v>
      </c>
      <c r="D76" s="557" t="str">
        <f ca="1">VLOOKUP( $B76, Aop!$A$2:$P$456, 6, 1)</f>
        <v xml:space="preserve">  d) Troškovi članarina</v>
      </c>
      <c r="E76" s="558"/>
      <c r="F76" s="558"/>
      <c r="G76" s="558"/>
      <c r="H76" s="559"/>
      <c r="I76" s="123">
        <f ca="1">VLOOKUP( $B76, Aop!$A$2:$P$456, 4, 1)</f>
        <v>656</v>
      </c>
      <c r="J76" s="153">
        <v>1278</v>
      </c>
      <c r="K76" s="153">
        <v>1233</v>
      </c>
      <c r="O76" s="27"/>
    </row>
    <row r="77" spans="2:15" ht="12.75" customHeight="1">
      <c r="B77" s="49">
        <v>408</v>
      </c>
      <c r="C77" s="192" t="str">
        <f ca="1">VLOOKUP( $B77, Aop!$A$2:$P$456, 5, 1)</f>
        <v>dio 555</v>
      </c>
      <c r="D77" s="563" t="str">
        <f ca="1">VLOOKUP( $B77, Aop!$A$2:$P$456, 6, 1)</f>
        <v xml:space="preserve">  đ) Troškovi poreza na proizvode, carine, boravišne takse, porez na igre na sreću i sl.</v>
      </c>
      <c r="E77" s="564"/>
      <c r="F77" s="564"/>
      <c r="G77" s="564"/>
      <c r="H77" s="565"/>
      <c r="I77" s="193">
        <f ca="1">VLOOKUP( $B77, Aop!$A$2:$P$456, 4, 1)</f>
        <v>657</v>
      </c>
      <c r="J77" s="153">
        <v>0</v>
      </c>
      <c r="K77" s="153"/>
      <c r="O77" s="27"/>
    </row>
    <row r="78" spans="2:15" ht="25.5" customHeight="1">
      <c r="B78" s="49">
        <v>409</v>
      </c>
      <c r="C78" s="191" t="str">
        <f ca="1">VLOOKUP( $B78, Aop!$A$2:$P$456, 5, 1)</f>
        <v>dio 555</v>
      </c>
      <c r="D78" s="557" t="str">
        <f ca="1">VLOOKUP( $B78, Aop!$A$2:$P$456, 6, 1)</f>
        <v xml:space="preserve">  e) Troškovi poreza na proizvodnju: na imovinu, na zemljište, za korišćenje voda i šuma, za protivpožarnu zaštitu i sl.</v>
      </c>
      <c r="E78" s="558"/>
      <c r="F78" s="558"/>
      <c r="G78" s="558"/>
      <c r="H78" s="559"/>
      <c r="I78" s="123">
        <f ca="1">VLOOKUP( $B78, Aop!$A$2:$P$456, 4, 1)</f>
        <v>658</v>
      </c>
      <c r="J78" s="153">
        <v>27329</v>
      </c>
      <c r="K78" s="153">
        <v>11237</v>
      </c>
      <c r="O78" s="134" t="s">
        <v>2435</v>
      </c>
    </row>
    <row r="79" spans="2:15" ht="12.75" customHeight="1">
      <c r="B79" s="49">
        <v>410</v>
      </c>
      <c r="C79" s="192">
        <f ca="1">VLOOKUP( $B79, Aop!$A$2:$P$456, 5, 1)</f>
        <v>559</v>
      </c>
      <c r="D79" s="563" t="str">
        <f ca="1">VLOOKUP( $B79, Aop!$A$2:$P$456, 6, 1)</f>
        <v xml:space="preserve">  ž) Ostali nematerijalni troškovi</v>
      </c>
      <c r="E79" s="564"/>
      <c r="F79" s="564"/>
      <c r="G79" s="564"/>
      <c r="H79" s="565"/>
      <c r="I79" s="193">
        <f ca="1">VLOOKUP( $B79, Aop!$A$2:$P$456, 4, 1)</f>
        <v>659</v>
      </c>
      <c r="J79" s="153">
        <v>54410</v>
      </c>
      <c r="K79" s="153">
        <v>6284</v>
      </c>
      <c r="O79" s="27"/>
    </row>
    <row r="80" spans="2:15" ht="12.75" customHeight="1">
      <c r="B80" s="49">
        <v>411</v>
      </c>
      <c r="C80" s="187">
        <f ca="1">VLOOKUP( $B80, Aop!$A$2:$P$456, 5, 1)</f>
        <v>0</v>
      </c>
      <c r="D80" s="574" t="str">
        <f ca="1">VLOOKUP( $B80, Aop!$A$2:$P$456, 6, 1)</f>
        <v>OBAVEZE I POTRAŽIVANJA</v>
      </c>
      <c r="E80" s="575"/>
      <c r="F80" s="575"/>
      <c r="G80" s="575"/>
      <c r="H80" s="576"/>
      <c r="I80" s="169">
        <f ca="1">VLOOKUP( $B80, Aop!$A$2:$P$456, 4, 1)</f>
        <v>660</v>
      </c>
      <c r="J80" s="153"/>
      <c r="K80" s="153"/>
      <c r="O80" s="27"/>
    </row>
    <row r="81" spans="2:15" ht="12.75" customHeight="1">
      <c r="B81" s="49">
        <v>412</v>
      </c>
      <c r="C81" s="192" t="str">
        <f ca="1">VLOOKUP( $B81, Aop!$A$2:$P$456, 5, 1)</f>
        <v>47, osim 479</v>
      </c>
      <c r="D81" s="563" t="str">
        <f ca="1">VLOOKUP( $B81, Aop!$A$2:$P$456, 6, 1)</f>
        <v xml:space="preserve">  Obračunati (fakturisani) porez na dodatu vrijednost (kumulativan promet konta)</v>
      </c>
      <c r="E81" s="564"/>
      <c r="F81" s="564"/>
      <c r="G81" s="564"/>
      <c r="H81" s="565"/>
      <c r="I81" s="193">
        <f ca="1">VLOOKUP( $B81, Aop!$A$2:$P$456, 4, 1)</f>
        <v>661</v>
      </c>
      <c r="J81" s="153">
        <v>150906</v>
      </c>
      <c r="K81" s="153">
        <v>76340</v>
      </c>
      <c r="O81" s="27"/>
    </row>
    <row r="82" spans="2:15" ht="12.75" customHeight="1">
      <c r="B82" s="49">
        <v>413</v>
      </c>
      <c r="C82" s="191" t="str">
        <f ca="1">VLOOKUP( $B82, Aop!$A$2:$P$456, 5, 1)</f>
        <v>27, osim 279</v>
      </c>
      <c r="D82" s="557" t="str">
        <f ca="1">VLOOKUP( $B82, Aop!$A$2:$P$456, 6, 1)</f>
        <v xml:space="preserve">  Ulazni porez na dodatu vrijednost (kumulativan promet konta)</v>
      </c>
      <c r="E82" s="558"/>
      <c r="F82" s="558"/>
      <c r="G82" s="558"/>
      <c r="H82" s="559"/>
      <c r="I82" s="123">
        <f ca="1">VLOOKUP( $B82, Aop!$A$2:$P$456, 4, 1)</f>
        <v>662</v>
      </c>
      <c r="J82" s="153">
        <v>101071</v>
      </c>
      <c r="K82" s="153">
        <v>11478</v>
      </c>
      <c r="O82" s="27"/>
    </row>
    <row r="83" spans="2:15" ht="12.75" customHeight="1">
      <c r="B83" s="49">
        <v>414</v>
      </c>
      <c r="C83" s="192">
        <f ca="1">VLOOKUP( $B83, Aop!$A$2:$P$456, 5, 1)</f>
        <v>479</v>
      </c>
      <c r="D83" s="563" t="str">
        <f ca="1">VLOOKUP( $B83, Aop!$A$2:$P$456, 6, 1)</f>
        <v xml:space="preserve">  Obaveze za PDV po osnovu razlike između obračunatog i akontacionog PDV-a (saldo konta)</v>
      </c>
      <c r="E83" s="564"/>
      <c r="F83" s="564"/>
      <c r="G83" s="564"/>
      <c r="H83" s="565"/>
      <c r="I83" s="193">
        <f ca="1">VLOOKUP( $B83, Aop!$A$2:$P$456, 4, 1)</f>
        <v>663</v>
      </c>
      <c r="J83" s="153"/>
      <c r="K83" s="153"/>
      <c r="O83" s="27"/>
    </row>
    <row r="84" spans="2:15" ht="12.75" customHeight="1">
      <c r="B84" s="49">
        <v>415</v>
      </c>
      <c r="C84" s="191">
        <f ca="1">VLOOKUP( $B84, Aop!$A$2:$P$456, 5, 1)</f>
        <v>279</v>
      </c>
      <c r="D84" s="557" t="str">
        <f ca="1">VLOOKUP( $B84, Aop!$A$2:$P$456, 6, 1)</f>
        <v xml:space="preserve">  Potraživanja po osnovu razlike između akontacionog i obračunatog PDV-a (saldo konta)</v>
      </c>
      <c r="E84" s="558"/>
      <c r="F84" s="558"/>
      <c r="G84" s="558"/>
      <c r="H84" s="559"/>
      <c r="I84" s="123">
        <f ca="1">VLOOKUP( $B84, Aop!$A$2:$P$456, 4, 1)</f>
        <v>664</v>
      </c>
      <c r="J84" s="153"/>
      <c r="K84" s="153"/>
      <c r="O84" s="27"/>
    </row>
    <row r="85" spans="2:15" ht="12.75" customHeight="1">
      <c r="B85" s="49">
        <v>416</v>
      </c>
      <c r="C85" s="192">
        <f ca="1">VLOOKUP( $B85, Aop!$A$2:$P$456, 5, 1)</f>
        <v>271</v>
      </c>
      <c r="D85" s="563" t="str">
        <f ca="1">VLOOKUP( $B85, Aop!$A$2:$P$456, 6, 1)</f>
        <v xml:space="preserve">  PDV plaćen pri uvozu (kumulativan promet konta)</v>
      </c>
      <c r="E85" s="564"/>
      <c r="F85" s="564"/>
      <c r="G85" s="564"/>
      <c r="H85" s="565"/>
      <c r="I85" s="193">
        <f ca="1">VLOOKUP( $B85, Aop!$A$2:$P$456, 4, 1)</f>
        <v>665</v>
      </c>
      <c r="J85" s="153"/>
      <c r="K85" s="153"/>
      <c r="O85" s="27"/>
    </row>
    <row r="86" spans="2:15" ht="12.75" customHeight="1">
      <c r="B86" s="49">
        <v>417</v>
      </c>
      <c r="C86" s="191">
        <f ca="1">VLOOKUP( $B86, Aop!$A$2:$P$456, 5, 1)</f>
        <v>484</v>
      </c>
      <c r="D86" s="557" t="str">
        <f ca="1">VLOOKUP( $B86, Aop!$A$2:$P$456, 6, 1)</f>
        <v xml:space="preserve">  Obaveze za PDV plaćen pri uvozu (kumulativan promet konta)</v>
      </c>
      <c r="E86" s="558"/>
      <c r="F86" s="558"/>
      <c r="G86" s="558"/>
      <c r="H86" s="559"/>
      <c r="I86" s="123">
        <f ca="1">VLOOKUP( $B86, Aop!$A$2:$P$456, 4, 1)</f>
        <v>666</v>
      </c>
      <c r="J86" s="153"/>
      <c r="K86" s="154"/>
      <c r="O86" s="27"/>
    </row>
    <row r="87" spans="2:15" ht="12.75" customHeight="1">
      <c r="B87" s="49">
        <v>418</v>
      </c>
      <c r="C87" s="192">
        <f ca="1">VLOOKUP( $B87, Aop!$A$2:$P$456, 5, 1)</f>
        <v>480</v>
      </c>
      <c r="D87" s="563" t="str">
        <f ca="1">VLOOKUP( $B87, Aop!$A$2:$P$456, 6, 1)</f>
        <v xml:space="preserve">  Obaveze za akcize (kumulativan promet konta)</v>
      </c>
      <c r="E87" s="564"/>
      <c r="F87" s="564"/>
      <c r="G87" s="564"/>
      <c r="H87" s="565"/>
      <c r="I87" s="193">
        <f ca="1">VLOOKUP( $B87, Aop!$A$2:$P$456, 4, 1)</f>
        <v>667</v>
      </c>
      <c r="J87" s="155"/>
      <c r="K87" s="156"/>
      <c r="O87" s="27"/>
    </row>
    <row r="88" spans="2:15" ht="12.75" customHeight="1">
      <c r="B88" s="49">
        <v>419</v>
      </c>
      <c r="C88" s="191" t="str">
        <f ca="1">VLOOKUP( $B88, Aop!$A$2:$P$456, 5, 1)</f>
        <v>nema konta</v>
      </c>
      <c r="D88" s="557" t="str">
        <f ca="1">VLOOKUP( $B88, Aop!$A$2:$P$456, 6, 1)</f>
        <v xml:space="preserve">  Prihodi ostvareni na bazi podugovaranja</v>
      </c>
      <c r="E88" s="558"/>
      <c r="F88" s="558"/>
      <c r="G88" s="558"/>
      <c r="H88" s="559"/>
      <c r="I88" s="123">
        <f ca="1">VLOOKUP( $B88, Aop!$A$2:$P$456, 4, 1)</f>
        <v>668</v>
      </c>
      <c r="J88" s="153"/>
      <c r="K88" s="154"/>
      <c r="O88" s="27"/>
    </row>
    <row r="89" spans="2:15" ht="12.75" customHeight="1">
      <c r="B89" s="49">
        <v>420</v>
      </c>
      <c r="C89" s="192" t="str">
        <f ca="1">VLOOKUP( $B89, Aop!$A$2:$P$456, 5, 1)</f>
        <v>nema konta</v>
      </c>
      <c r="D89" s="563" t="str">
        <f ca="1">VLOOKUP( $B89, Aop!$A$2:$P$456, 6, 1)</f>
        <v xml:space="preserve">  Plaćanja podugovaračima za rad, isporučene proizvode i usluge</v>
      </c>
      <c r="E89" s="564"/>
      <c r="F89" s="564"/>
      <c r="G89" s="564"/>
      <c r="H89" s="565"/>
      <c r="I89" s="193">
        <f ca="1">VLOOKUP( $B89, Aop!$A$2:$P$456, 4, 1)</f>
        <v>669</v>
      </c>
      <c r="J89" s="155"/>
      <c r="K89" s="156"/>
      <c r="O89" s="27"/>
    </row>
    <row r="90" spans="2:15" ht="25.5" customHeight="1">
      <c r="B90" s="49">
        <v>421</v>
      </c>
      <c r="C90" s="194" t="str">
        <f ca="1">VLOOKUP( $B90, Aop!$A$2:$P$456, 5, 1)</f>
        <v>nema konta</v>
      </c>
      <c r="D90" s="693" t="str">
        <f ca="1">VLOOKUP( $B90, Aop!$A$2:$P$456, 6, 1)</f>
        <v xml:space="preserve">  Ukupan broj odrađenih časova rada (efektivni časovi rada bez bolovanja, godišnjih odmora, državnih praznika i sl.)</v>
      </c>
      <c r="E90" s="694"/>
      <c r="F90" s="694"/>
      <c r="G90" s="694"/>
      <c r="H90" s="695"/>
      <c r="I90" s="186">
        <f ca="1">VLOOKUP( $B90, Aop!$A$2:$P$456, 4, 1)</f>
        <v>670</v>
      </c>
      <c r="J90" s="206"/>
      <c r="K90" s="207"/>
      <c r="O90" s="134" t="s">
        <v>2435</v>
      </c>
    </row>
    <row r="91" spans="2:15">
      <c r="C91" s="36"/>
      <c r="D91" s="39"/>
      <c r="E91" s="39"/>
      <c r="F91" s="39"/>
      <c r="G91" s="39"/>
      <c r="H91" s="39"/>
      <c r="I91" s="235"/>
      <c r="J91" s="36"/>
      <c r="K91" s="36"/>
    </row>
    <row r="92" spans="2:15">
      <c r="C92" s="178" t="str">
        <f ca="1">Podnozje_U</f>
        <v>U:</v>
      </c>
      <c r="D92" s="411" t="str">
        <f ca="1">Podatak_U</f>
        <v>Prijedoru</v>
      </c>
      <c r="E92"/>
      <c r="F92" s="666" t="str">
        <f ca="1">Podnozje_Lice_sa_licencom</f>
        <v>Lice sa licencom:</v>
      </c>
      <c r="G92" s="666"/>
      <c r="H92" s="36" t="str">
        <f ca="1">Podnozje_MP</f>
        <v>(M.P.)</v>
      </c>
      <c r="J92" s="666" t="str">
        <f ca="1">Podnozje_Direktor</f>
        <v>Lice ovlašćeno za zastupanje:</v>
      </c>
      <c r="K92" s="666"/>
      <c r="L92" s="666"/>
    </row>
    <row r="93" spans="2:15">
      <c r="C93" s="28"/>
      <c r="D93" s="128"/>
      <c r="E93"/>
      <c r="F93" s="692" t="str">
        <f ca="1">lice</f>
        <v>Petrašin Rodić,dipl.ecc</v>
      </c>
      <c r="G93" s="692"/>
      <c r="H93" s="78"/>
      <c r="I93" s="78"/>
      <c r="J93" s="682" t="str">
        <f ca="1">Podatak_Direktor</f>
        <v>Stanko Vujković,dipl.ing.maš.</v>
      </c>
      <c r="K93" s="682"/>
      <c r="L93" s="9"/>
    </row>
    <row r="94" spans="2:15">
      <c r="C94" s="178" t="str">
        <f ca="1">Podnozje_Dana</f>
        <v>Dana:</v>
      </c>
      <c r="D94" s="410" t="str">
        <f ca="1">Podatak_Dana</f>
        <v>31.07.2022.</v>
      </c>
      <c r="E94"/>
      <c r="F94" s="696" t="str">
        <f ca="1">licenca</f>
        <v>SR -0054/22</v>
      </c>
      <c r="G94" s="696"/>
      <c r="J94" s="696"/>
      <c r="K94" s="696"/>
    </row>
    <row r="95" spans="2:15">
      <c r="G95" s="38"/>
      <c r="H95" s="36"/>
      <c r="I95" s="179"/>
      <c r="J95" s="38"/>
      <c r="K95" s="38"/>
    </row>
    <row r="96" spans="2:15" hidden="1">
      <c r="F96" s="39"/>
      <c r="G96" s="39"/>
      <c r="H96" s="39"/>
      <c r="I96" s="9"/>
      <c r="J96" s="36"/>
      <c r="K96" s="36"/>
    </row>
  </sheetData>
  <mergeCells count="93">
    <mergeCell ref="D8:E8"/>
    <mergeCell ref="C9:E9"/>
    <mergeCell ref="J18:K18"/>
    <mergeCell ref="D23:H23"/>
    <mergeCell ref="D26:H26"/>
    <mergeCell ref="C13:E13"/>
    <mergeCell ref="D21:H21"/>
    <mergeCell ref="I18:I19"/>
    <mergeCell ref="C10:E10"/>
    <mergeCell ref="C12:E12"/>
    <mergeCell ref="C18:C19"/>
    <mergeCell ref="J5:K5"/>
    <mergeCell ref="C14:K14"/>
    <mergeCell ref="C15:K15"/>
    <mergeCell ref="C16:K16"/>
    <mergeCell ref="C11:E11"/>
    <mergeCell ref="C5:E6"/>
    <mergeCell ref="C7:E7"/>
    <mergeCell ref="D43:H43"/>
    <mergeCell ref="D38:H38"/>
    <mergeCell ref="D39:H39"/>
    <mergeCell ref="D27:H27"/>
    <mergeCell ref="D25:H25"/>
    <mergeCell ref="D24:H24"/>
    <mergeCell ref="J94:K94"/>
    <mergeCell ref="F94:G94"/>
    <mergeCell ref="J92:L92"/>
    <mergeCell ref="J93:K93"/>
    <mergeCell ref="F92:G92"/>
    <mergeCell ref="F93:G93"/>
    <mergeCell ref="D48:H48"/>
    <mergeCell ref="D51:H51"/>
    <mergeCell ref="D34:H34"/>
    <mergeCell ref="D50:H50"/>
    <mergeCell ref="D18:H19"/>
    <mergeCell ref="D28:H28"/>
    <mergeCell ref="D37:H37"/>
    <mergeCell ref="D49:H49"/>
    <mergeCell ref="D22:H22"/>
    <mergeCell ref="D20:H20"/>
    <mergeCell ref="D36:H36"/>
    <mergeCell ref="D31:H31"/>
    <mergeCell ref="D29:H29"/>
    <mergeCell ref="D30:H30"/>
    <mergeCell ref="D33:H33"/>
    <mergeCell ref="D35:H35"/>
    <mergeCell ref="D32:H32"/>
    <mergeCell ref="D53:H53"/>
    <mergeCell ref="D54:H54"/>
    <mergeCell ref="D40:H40"/>
    <mergeCell ref="D41:H41"/>
    <mergeCell ref="D42:H42"/>
    <mergeCell ref="D47:H47"/>
    <mergeCell ref="D46:H46"/>
    <mergeCell ref="D44:H44"/>
    <mergeCell ref="D45:H45"/>
    <mergeCell ref="D52:H52"/>
    <mergeCell ref="D80:H80"/>
    <mergeCell ref="D55:H55"/>
    <mergeCell ref="D61:H61"/>
    <mergeCell ref="D62:H62"/>
    <mergeCell ref="D56:H56"/>
    <mergeCell ref="D59:H59"/>
    <mergeCell ref="D60:H60"/>
    <mergeCell ref="D57:H57"/>
    <mergeCell ref="D58:H58"/>
    <mergeCell ref="D63:H63"/>
    <mergeCell ref="D64:H64"/>
    <mergeCell ref="D89:H89"/>
    <mergeCell ref="D88:H88"/>
    <mergeCell ref="D78:H78"/>
    <mergeCell ref="D79:H79"/>
    <mergeCell ref="D87:H87"/>
    <mergeCell ref="D75:H75"/>
    <mergeCell ref="D76:H76"/>
    <mergeCell ref="D77:H77"/>
    <mergeCell ref="D90:H90"/>
    <mergeCell ref="D81:H81"/>
    <mergeCell ref="D82:H82"/>
    <mergeCell ref="D83:H83"/>
    <mergeCell ref="D84:H84"/>
    <mergeCell ref="D85:H85"/>
    <mergeCell ref="D86:H86"/>
    <mergeCell ref="D74:H74"/>
    <mergeCell ref="D72:H72"/>
    <mergeCell ref="D65:H65"/>
    <mergeCell ref="D73:H73"/>
    <mergeCell ref="D68:H68"/>
    <mergeCell ref="D67:H67"/>
    <mergeCell ref="D66:H66"/>
    <mergeCell ref="D71:H71"/>
    <mergeCell ref="D70:H70"/>
    <mergeCell ref="D69:H69"/>
  </mergeCells>
  <phoneticPr fontId="4"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8 K70:K82 J40:K58 J83:K90 J76:J82 J70:J74 J60:K6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9:K39 J69:K69 J59:K59">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worksheet>
</file>

<file path=xl/worksheets/sheet8.xml><?xml version="1.0" encoding="utf-8"?>
<worksheet xmlns="http://schemas.openxmlformats.org/spreadsheetml/2006/main" xmlns:r="http://schemas.openxmlformats.org/officeDocument/2006/relationships">
  <sheetPr codeName="Sheet05">
    <tabColor rgb="FFB2B2B2"/>
  </sheetPr>
  <dimension ref="B1:S65"/>
  <sheetViews>
    <sheetView showGridLines="0" showRowColHeaders="0" zoomScaleNormal="100" zoomScaleSheetLayoutView="100" workbookViewId="0">
      <pane ySplit="4" topLeftCell="A32" activePane="bottomLeft" state="frozen"/>
      <selection activeCell="D15" sqref="D15"/>
      <selection pane="bottomLeft" activeCell="H57" sqref="H57:I57"/>
    </sheetView>
  </sheetViews>
  <sheetFormatPr defaultColWidth="0" defaultRowHeight="12.75" zeroHeight="1"/>
  <cols>
    <col min="1" max="1" width="5.7109375" style="8" customWidth="1"/>
    <col min="2" max="2" width="2"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c r="C1" s="18"/>
      <c r="D1" s="18"/>
      <c r="E1" s="18"/>
      <c r="F1" s="18"/>
      <c r="G1" s="18"/>
      <c r="H1" s="18"/>
      <c r="I1" s="18"/>
      <c r="J1" s="18"/>
      <c r="K1" s="18"/>
      <c r="L1" s="18"/>
      <c r="M1" s="18"/>
      <c r="N1" s="18"/>
      <c r="O1" s="18"/>
      <c r="P1" s="18"/>
      <c r="Q1" s="18"/>
    </row>
    <row r="2" spans="3:17">
      <c r="C2" s="18"/>
      <c r="D2" s="18"/>
      <c r="E2" s="18"/>
      <c r="F2" s="18"/>
      <c r="G2" s="18"/>
      <c r="H2" s="18"/>
      <c r="I2" s="18"/>
      <c r="J2" s="18"/>
      <c r="K2" s="18"/>
      <c r="L2" s="18"/>
      <c r="M2" s="18"/>
      <c r="N2" s="18"/>
      <c r="O2" s="18"/>
      <c r="P2" s="18"/>
      <c r="Q2" s="18"/>
    </row>
    <row r="3" spans="3:17">
      <c r="C3" s="18"/>
      <c r="D3" s="18"/>
      <c r="E3" s="18"/>
      <c r="F3" s="18"/>
      <c r="G3" s="18"/>
      <c r="H3" s="18"/>
      <c r="I3" s="18"/>
      <c r="J3" s="18"/>
      <c r="K3" s="18"/>
      <c r="L3" s="18"/>
      <c r="M3" s="18"/>
      <c r="N3" s="18"/>
      <c r="O3" s="18"/>
      <c r="P3" s="18"/>
      <c r="Q3" s="18"/>
    </row>
    <row r="4" spans="3:17">
      <c r="C4" s="18"/>
      <c r="D4" s="18"/>
      <c r="E4" s="18"/>
      <c r="F4" s="18"/>
      <c r="G4" s="18"/>
      <c r="H4" s="18"/>
      <c r="I4" s="18"/>
      <c r="J4" s="18"/>
      <c r="K4" s="18"/>
      <c r="L4" s="18"/>
      <c r="M4" s="18"/>
      <c r="N4" s="18"/>
      <c r="O4" s="18"/>
      <c r="P4" s="18"/>
      <c r="Q4" s="18"/>
    </row>
    <row r="5" spans="3:17">
      <c r="D5" s="618" t="str">
        <f ca="1">Zaglavlje_Naziv_preduzeca</f>
        <v xml:space="preserve">Naziv privrednog društva, zadruge, drugog pravnog lica ili preduzetnika: </v>
      </c>
      <c r="E5" s="618"/>
      <c r="F5" s="618"/>
      <c r="O5" s="15" t="s">
        <v>2912</v>
      </c>
      <c r="P5" s="624" t="str">
        <f ca="1">Podatak_MB</f>
        <v>01111329</v>
      </c>
      <c r="Q5" s="624"/>
    </row>
    <row r="6" spans="3:17">
      <c r="D6" s="618"/>
      <c r="E6" s="618"/>
      <c r="F6" s="618"/>
      <c r="Q6" s="240" t="str">
        <f ca="1">Zaglavlje_MB</f>
        <v>Matični broj</v>
      </c>
    </row>
    <row r="7" spans="3:17" ht="15" customHeight="1">
      <c r="D7" s="621" t="str">
        <f ca="1">Podatak_Naziv_preduzeca</f>
        <v>RUDNICI ŽELJEZNE RUDE LJUBIJA AD PRIJEDOR</v>
      </c>
      <c r="E7" s="621"/>
      <c r="F7" s="621"/>
      <c r="P7" s="624" t="str">
        <f ca="1">Podatak_Sifra_djelatnosti</f>
        <v>07.10</v>
      </c>
      <c r="Q7" s="624"/>
    </row>
    <row r="8" spans="3:17">
      <c r="D8" s="126" t="str">
        <f ca="1">Zaglavlje_Sjediste</f>
        <v>Sjedište:</v>
      </c>
      <c r="E8" s="622" t="str">
        <f ca="1">Podatak_Sjediste</f>
        <v>PRIJEDOR</v>
      </c>
      <c r="F8" s="622"/>
      <c r="Q8" s="240" t="str">
        <f ca="1">Zaglavlje_Sifra_djelatnosti</f>
        <v>Šifra djelatnosti</v>
      </c>
    </row>
    <row r="9" spans="3:17">
      <c r="D9" s="620" t="str">
        <f ca="1">Zaglavlje_Ziro_racun</f>
        <v>Račun kod ovlašćene organizacije za platni promet:</v>
      </c>
      <c r="E9" s="620"/>
      <c r="F9" s="620"/>
      <c r="H9" s="14"/>
      <c r="Q9" s="393" t="str">
        <f ca="1">Podatak_JIB</f>
        <v>4400692320002</v>
      </c>
    </row>
    <row r="10" spans="3:17">
      <c r="D10" s="615" t="str">
        <f ca="1">Podatak_Ziro_racun_1</f>
        <v>555-100-00160158-32</v>
      </c>
      <c r="E10" s="615"/>
      <c r="F10" s="615"/>
      <c r="Q10" s="240" t="str">
        <f ca="1">Zaglavlje_JIB</f>
        <v>JIB</v>
      </c>
    </row>
    <row r="11" spans="3:17">
      <c r="C11" s="252"/>
      <c r="D11" s="615" t="str">
        <f ca="1">Podatak_Ziro_racun_2</f>
        <v/>
      </c>
      <c r="E11" s="615"/>
      <c r="F11" s="615"/>
      <c r="H11" s="14"/>
    </row>
    <row r="12" spans="3:17">
      <c r="C12" s="252"/>
      <c r="D12" s="640" t="str">
        <f ca="1">Podatak_Ziro_racun_3</f>
        <v/>
      </c>
      <c r="E12" s="640"/>
      <c r="F12" s="640"/>
    </row>
    <row r="13" spans="3:17">
      <c r="C13" s="252"/>
      <c r="D13" s="640" t="str">
        <f ca="1">Podatak_Ziro_racun_4</f>
        <v/>
      </c>
      <c r="E13" s="640"/>
      <c r="F13" s="640"/>
      <c r="H13" s="18"/>
      <c r="I13" s="18"/>
      <c r="J13" s="18"/>
      <c r="K13" s="19"/>
      <c r="L13" s="19"/>
      <c r="M13" s="19"/>
      <c r="N13" s="19"/>
      <c r="O13" s="18"/>
      <c r="P13"/>
      <c r="Q13"/>
    </row>
    <row r="14" spans="3:17" ht="15.75">
      <c r="C14" s="252"/>
      <c r="D14" s="623" t="str">
        <f ca="1">IF( Id_Konsolidovani, Nazivi_bilansa_Konsolidovani_naziv &amp; LOWER( Nazivi_bilansa_BPK), Nazivi_bilansa_BPK)</f>
        <v>IZVJEŠTAJ O PROMJENAMA NA KAPITALU</v>
      </c>
      <c r="E14" s="623"/>
      <c r="F14" s="623"/>
      <c r="G14" s="623"/>
      <c r="H14" s="623"/>
      <c r="I14" s="623"/>
      <c r="J14" s="623"/>
      <c r="K14" s="623"/>
      <c r="L14" s="623"/>
      <c r="M14" s="623"/>
      <c r="N14" s="623"/>
      <c r="O14" s="623"/>
      <c r="P14" s="623"/>
      <c r="Q14" s="623"/>
    </row>
    <row r="15" spans="3:17">
      <c r="C15" s="252"/>
      <c r="D15" s="616" t="str">
        <f ca="1">Datumi_Datum_BPK</f>
        <v>za period koji se završava na dan 30.06.2022. godine</v>
      </c>
      <c r="E15" s="616"/>
      <c r="F15" s="616"/>
      <c r="G15" s="616"/>
      <c r="H15" s="616"/>
      <c r="I15" s="616"/>
      <c r="J15" s="616"/>
      <c r="K15" s="616"/>
      <c r="L15" s="616"/>
      <c r="M15" s="616"/>
      <c r="N15" s="616"/>
      <c r="O15" s="616"/>
      <c r="P15" s="616"/>
      <c r="Q15" s="616"/>
    </row>
    <row r="16" spans="3:17">
      <c r="C16" s="252"/>
      <c r="D16" s="463"/>
      <c r="E16" s="463"/>
      <c r="F16" s="463"/>
      <c r="G16" s="463"/>
      <c r="H16" s="463"/>
      <c r="I16" s="463"/>
      <c r="J16" s="463"/>
      <c r="K16" s="463"/>
      <c r="L16" s="463"/>
      <c r="M16" s="463"/>
      <c r="N16" s="463"/>
      <c r="O16" s="463"/>
      <c r="P16" s="463"/>
      <c r="Q16" s="464" t="str">
        <f ca="1">Tabele_zaglavlje_Valuta</f>
        <v>- u konvertibilnim markama -</v>
      </c>
    </row>
    <row r="17" spans="2:19">
      <c r="C17" s="252"/>
      <c r="D17" s="710" t="str">
        <f ca="1">Tabele_zaglavlje_BPK1</f>
        <v>VRSTA PROMJENE NA KAPITALU</v>
      </c>
      <c r="E17" s="711"/>
      <c r="F17" s="712"/>
      <c r="G17" s="731" t="str">
        <f ca="1">Tabele_zaglavlje_Oznaka_aop</f>
        <v>Oznaka za AOP</v>
      </c>
      <c r="H17" s="724" t="str">
        <f ca="1">Tabele_zaglavlje_BPK0</f>
        <v>KAPITAL KOJI PRIPADA VLASNICIMA MATIČNOG DRUŠTVA</v>
      </c>
      <c r="I17" s="725"/>
      <c r="J17" s="725"/>
      <c r="K17" s="725"/>
      <c r="L17" s="725"/>
      <c r="M17" s="725"/>
      <c r="N17" s="725"/>
      <c r="O17" s="726"/>
      <c r="P17" s="727" t="str">
        <f ca="1">Tabele_zaglavlje_BPK11</f>
        <v>UDJELI KOJI NEMAJU KONTROLU (MANJINSKI INTERES)</v>
      </c>
      <c r="Q17" s="729" t="str">
        <f t="array" aca="1" ref="Q17" ca="1">Tabele_zaglavlje_BPK12</f>
        <v>UKUPNI KAPITAL
(10+11)</v>
      </c>
    </row>
    <row r="18" spans="2:19" ht="106.5" customHeight="1">
      <c r="C18" s="252"/>
      <c r="D18" s="713"/>
      <c r="E18" s="714"/>
      <c r="F18" s="571"/>
      <c r="G18" s="573"/>
      <c r="H18" s="480" t="str">
        <f ca="1">Tabele_zaglavlje_BPK3</f>
        <v>Akcijski kapital - 
vlasnički udjeli</v>
      </c>
      <c r="I18" s="480" t="str">
        <f ca="1">Tabele_zaglavlje_BPK4</f>
        <v>Emisiona premija</v>
      </c>
      <c r="J18" s="480" t="str">
        <f ca="1">Tabele_zaglavlje_BPK5</f>
        <v>Rezerve</v>
      </c>
      <c r="K18" s="480" t="str">
        <f ca="1">Tabele_zaglavlje_BPK6</f>
        <v>Revalorizacione 
rezerve za 
nekretnine, 
postrojenja i opremu</v>
      </c>
      <c r="L18" s="480" t="str">
        <f ca="1">Tabele_zaglavlje_BPK7</f>
        <v>Revalorizacione rezerve za finansijska sredstva vrednovana po fer vrijednosti krozu ostali ukupni rezultat</v>
      </c>
      <c r="M18" s="480" t="str">
        <f ca="1">Tabele_zaglavlje_BPK8</f>
        <v>Ostale revalorizacione rezerve</v>
      </c>
      <c r="N18" s="480" t="str">
        <f ca="1">Tabele_zaglavlje_BPK9</f>
        <v>Akumulirana neraspoređena dobit/(nepokriveni gubitak)</v>
      </c>
      <c r="O18" s="480" t="str">
        <f ca="1">Tabele_zaglavlje_BPK10</f>
        <v>Ukupno 
(3+4+5+6±7± 8 ± 9)</v>
      </c>
      <c r="P18" s="728"/>
      <c r="Q18" s="730"/>
      <c r="S18" s="135" t="s">
        <v>1789</v>
      </c>
    </row>
    <row r="19" spans="2:19">
      <c r="B19" s="44" t="s">
        <v>1527</v>
      </c>
      <c r="C19" s="252"/>
      <c r="D19" s="718">
        <v>1</v>
      </c>
      <c r="E19" s="719"/>
      <c r="F19" s="720"/>
      <c r="G19" s="25">
        <v>2</v>
      </c>
      <c r="H19" s="25">
        <v>3</v>
      </c>
      <c r="I19" s="25">
        <v>4</v>
      </c>
      <c r="J19" s="25">
        <v>5</v>
      </c>
      <c r="K19" s="25">
        <v>6</v>
      </c>
      <c r="L19" s="25">
        <v>7</v>
      </c>
      <c r="M19" s="25">
        <v>8</v>
      </c>
      <c r="N19" s="25">
        <v>9</v>
      </c>
      <c r="O19" s="25">
        <v>10</v>
      </c>
      <c r="P19" s="25">
        <v>11</v>
      </c>
      <c r="Q19" s="465">
        <v>12</v>
      </c>
    </row>
    <row r="20" spans="2:19" ht="7.5" customHeight="1">
      <c r="B20" s="49">
        <v>422</v>
      </c>
      <c r="C20" s="252"/>
      <c r="D20" s="721" t="str">
        <f ca="1">VLOOKUP($B20,Aop!$A$2:$M$456,6,1)</f>
        <v/>
      </c>
      <c r="E20" s="722"/>
      <c r="F20" s="723"/>
      <c r="G20" s="183">
        <f ca="1">VLOOKUP($B20,Aop!$A$2:$M$456,4,1)</f>
        <v>0</v>
      </c>
      <c r="H20" s="32"/>
      <c r="I20" s="32"/>
      <c r="J20" s="32"/>
      <c r="K20" s="32"/>
      <c r="L20" s="32"/>
      <c r="M20" s="32"/>
      <c r="N20" s="32"/>
      <c r="O20" s="32"/>
      <c r="P20" s="32"/>
      <c r="Q20" s="33"/>
    </row>
    <row r="21" spans="2:19">
      <c r="B21" s="49">
        <v>423</v>
      </c>
      <c r="C21" s="252"/>
      <c r="D21" s="715" t="str">
        <f ca="1">VLOOKUP($B21,Aop!$A$2:$M$456,6,1)</f>
        <v>Stanje na dan 01.01.2021. god.</v>
      </c>
      <c r="E21" s="716"/>
      <c r="F21" s="717"/>
      <c r="G21" s="495">
        <f ca="1">VLOOKUP($B21,Aop!$A$2:$M$456,4,1)</f>
        <v>901</v>
      </c>
      <c r="H21" s="81">
        <v>50777428</v>
      </c>
      <c r="I21" s="81"/>
      <c r="J21" s="81">
        <v>20971</v>
      </c>
      <c r="K21" s="81"/>
      <c r="L21" s="81"/>
      <c r="M21" s="81">
        <v>15495786</v>
      </c>
      <c r="N21" s="81">
        <v>19107814</v>
      </c>
      <c r="O21" s="31">
        <f t="shared" ref="O21:O51" si="0">SUM(H21:N21)</f>
        <v>85401999</v>
      </c>
      <c r="P21" s="81"/>
      <c r="Q21" s="34">
        <f t="shared" ref="Q21:Q51" si="1">SUM(O21:P21)</f>
        <v>85401999</v>
      </c>
    </row>
    <row r="22" spans="2:19" ht="7.5" customHeight="1">
      <c r="B22" s="49">
        <v>424</v>
      </c>
      <c r="C22" s="252"/>
      <c r="D22" s="707" t="str">
        <f ca="1">VLOOKUP($B22,Aop!$A$2:$M$456,6,1)</f>
        <v/>
      </c>
      <c r="E22" s="708"/>
      <c r="F22" s="709"/>
      <c r="G22" s="185">
        <f ca="1">VLOOKUP($B22,Aop!$A$2:$M$456,4,1)</f>
        <v>0</v>
      </c>
      <c r="H22" s="32"/>
      <c r="I22" s="32"/>
      <c r="J22" s="32"/>
      <c r="K22" s="32"/>
      <c r="L22" s="32"/>
      <c r="M22" s="32"/>
      <c r="N22" s="32" t="s">
        <v>2912</v>
      </c>
      <c r="O22" s="32"/>
      <c r="P22" s="32"/>
      <c r="Q22" s="33"/>
    </row>
    <row r="23" spans="2:19" ht="15" customHeight="1">
      <c r="B23" s="49">
        <v>425</v>
      </c>
      <c r="C23" s="252"/>
      <c r="D23" s="704" t="str">
        <f ca="1">VLOOKUP($B23,Aop!$A$2:$M$456,6,1)</f>
        <v xml:space="preserve">    2. Efekti promjena u računovodstvenim politikama </v>
      </c>
      <c r="E23" s="705"/>
      <c r="F23" s="706"/>
      <c r="G23" s="184">
        <f ca="1">VLOOKUP($B23,Aop!$A$2:$M$456,4,1)</f>
        <v>902</v>
      </c>
      <c r="H23" s="153"/>
      <c r="I23" s="153"/>
      <c r="J23" s="153"/>
      <c r="K23" s="153"/>
      <c r="L23" s="153"/>
      <c r="M23" s="153"/>
      <c r="N23" s="153"/>
      <c r="O23" s="152">
        <f t="shared" si="0"/>
        <v>0</v>
      </c>
      <c r="P23" s="153"/>
      <c r="Q23" s="34">
        <f t="shared" si="1"/>
        <v>0</v>
      </c>
    </row>
    <row r="24" spans="2:19" ht="15" customHeight="1">
      <c r="B24" s="49">
        <v>426</v>
      </c>
      <c r="C24" s="252"/>
      <c r="D24" s="707" t="str">
        <f ca="1">VLOOKUP($B24,Aop!$A$2:$M$456,6,1)</f>
        <v xml:space="preserve">    3. Efekti ispravki grešaka</v>
      </c>
      <c r="E24" s="708"/>
      <c r="F24" s="709"/>
      <c r="G24" s="185">
        <f ca="1">VLOOKUP($B24,Aop!$A$2:$M$456,4,1)</f>
        <v>903</v>
      </c>
      <c r="H24" s="155"/>
      <c r="I24" s="155"/>
      <c r="J24" s="155"/>
      <c r="K24" s="155"/>
      <c r="L24" s="155"/>
      <c r="M24" s="155"/>
      <c r="N24" s="155"/>
      <c r="O24" s="151">
        <f t="shared" si="0"/>
        <v>0</v>
      </c>
      <c r="P24" s="155"/>
      <c r="Q24" s="459">
        <f t="shared" si="1"/>
        <v>0</v>
      </c>
    </row>
    <row r="25" spans="2:19" ht="23.25" customHeight="1">
      <c r="B25" s="49">
        <v>427</v>
      </c>
      <c r="C25" s="252"/>
      <c r="D25" s="715" t="str">
        <f ca="1">VLOOKUP($B25,Aop!$A$2:$M$456,6,1)</f>
        <v xml:space="preserve">  4. Ponovo iskazano stanje na dan 01.01.2021. god. (901 ± 902 ± 903)</v>
      </c>
      <c r="E25" s="716"/>
      <c r="F25" s="717"/>
      <c r="G25" s="495">
        <f ca="1">VLOOKUP($B25,Aop!$A$2:$M$456,4,1)</f>
        <v>904</v>
      </c>
      <c r="H25" s="31">
        <f>SUM(H21:H24)</f>
        <v>50777428</v>
      </c>
      <c r="I25" s="31">
        <f t="shared" ref="I25:P25" si="2">SUM(I21:I24)</f>
        <v>0</v>
      </c>
      <c r="J25" s="31">
        <f t="shared" si="2"/>
        <v>20971</v>
      </c>
      <c r="K25" s="31">
        <f t="shared" si="2"/>
        <v>0</v>
      </c>
      <c r="L25" s="31">
        <f t="shared" si="2"/>
        <v>0</v>
      </c>
      <c r="M25" s="31">
        <f t="shared" si="2"/>
        <v>15495786</v>
      </c>
      <c r="N25" s="31">
        <f t="shared" si="2"/>
        <v>19107814</v>
      </c>
      <c r="O25" s="31">
        <f>SUM(H25:N25)</f>
        <v>85401999</v>
      </c>
      <c r="P25" s="31">
        <f t="shared" si="2"/>
        <v>0</v>
      </c>
      <c r="Q25" s="34">
        <f t="shared" si="1"/>
        <v>85401999</v>
      </c>
      <c r="S25" s="134" t="s">
        <v>2435</v>
      </c>
    </row>
    <row r="26" spans="2:19" ht="8.25" customHeight="1">
      <c r="B26" s="49">
        <v>428</v>
      </c>
      <c r="C26" s="252"/>
      <c r="D26" s="707" t="str">
        <f ca="1">VLOOKUP($B26,Aop!$A$2:$M$456,6,1)</f>
        <v/>
      </c>
      <c r="E26" s="708"/>
      <c r="F26" s="709"/>
      <c r="G26" s="185">
        <f ca="1">VLOOKUP($B26,Aop!$A$2:$M$456,4,1)</f>
        <v>0</v>
      </c>
      <c r="H26" s="32"/>
      <c r="I26" s="32"/>
      <c r="J26" s="32"/>
      <c r="K26" s="32"/>
      <c r="L26" s="32"/>
      <c r="M26" s="32"/>
      <c r="N26" s="32"/>
      <c r="O26" s="32"/>
      <c r="P26" s="32"/>
      <c r="Q26" s="33"/>
      <c r="S26" s="134" t="s">
        <v>2435</v>
      </c>
    </row>
    <row r="27" spans="2:19" ht="15" customHeight="1">
      <c r="B27" s="49">
        <v>429</v>
      </c>
      <c r="C27" s="252"/>
      <c r="D27" s="704" t="str">
        <f ca="1">VLOOKUP($B27,Aop!$A$2:$M$456,6,1)</f>
        <v xml:space="preserve">    5. Dobit/(gubitak) za godinu</v>
      </c>
      <c r="E27" s="705"/>
      <c r="F27" s="706"/>
      <c r="G27" s="184">
        <f ca="1">VLOOKUP($B27,Aop!$A$2:$M$456,4,1)</f>
        <v>905</v>
      </c>
      <c r="H27" s="153"/>
      <c r="I27" s="153"/>
      <c r="J27" s="153"/>
      <c r="K27" s="153"/>
      <c r="L27" s="153"/>
      <c r="M27" s="153"/>
      <c r="N27" s="153"/>
      <c r="O27" s="152">
        <f t="shared" si="0"/>
        <v>0</v>
      </c>
      <c r="P27" s="153"/>
      <c r="Q27" s="460">
        <f t="shared" si="1"/>
        <v>0</v>
      </c>
    </row>
    <row r="28" spans="2:19" ht="15" customHeight="1">
      <c r="B28" s="49">
        <v>430</v>
      </c>
      <c r="C28" s="252"/>
      <c r="D28" s="707" t="str">
        <f ca="1">VLOOKUP($B28,Aop!$A$2:$M$456,6,1)</f>
        <v xml:space="preserve">    6. Ostali ukupni rezultat za godinu</v>
      </c>
      <c r="E28" s="708"/>
      <c r="F28" s="709"/>
      <c r="G28" s="185">
        <f ca="1">VLOOKUP($B28,Aop!$A$2:$M$456,4,1)</f>
        <v>906</v>
      </c>
      <c r="H28" s="155"/>
      <c r="I28" s="155"/>
      <c r="J28" s="155"/>
      <c r="K28" s="155"/>
      <c r="L28" s="155"/>
      <c r="M28" s="155"/>
      <c r="N28" s="155"/>
      <c r="O28" s="151">
        <f t="shared" si="0"/>
        <v>0</v>
      </c>
      <c r="P28" s="155"/>
      <c r="Q28" s="459">
        <f t="shared" si="1"/>
        <v>0</v>
      </c>
    </row>
    <row r="29" spans="2:19" ht="15" customHeight="1">
      <c r="B29" s="49">
        <v>431</v>
      </c>
      <c r="C29" s="252"/>
      <c r="D29" s="715" t="str">
        <f ca="1">VLOOKUP($B29,Aop!$A$2:$M$456,6,1)</f>
        <v xml:space="preserve">  7. Ukupna dobit/(gubitak) 01.01.2021. god. (± 905 ± 906)</v>
      </c>
      <c r="E29" s="716"/>
      <c r="F29" s="717"/>
      <c r="G29" s="495">
        <f ca="1">VLOOKUP($B29,Aop!$A$2:$M$456,4,1)</f>
        <v>907</v>
      </c>
      <c r="H29" s="31">
        <f>SUM(H27:H28)</f>
        <v>0</v>
      </c>
      <c r="I29" s="31">
        <f t="shared" ref="I29:Q29" si="3">SUM(I27:I28)</f>
        <v>0</v>
      </c>
      <c r="J29" s="31">
        <f t="shared" si="3"/>
        <v>0</v>
      </c>
      <c r="K29" s="31">
        <f t="shared" si="3"/>
        <v>0</v>
      </c>
      <c r="L29" s="31">
        <f t="shared" si="3"/>
        <v>0</v>
      </c>
      <c r="M29" s="31">
        <f t="shared" si="3"/>
        <v>0</v>
      </c>
      <c r="N29" s="31">
        <f t="shared" si="3"/>
        <v>0</v>
      </c>
      <c r="O29" s="31">
        <f t="shared" si="3"/>
        <v>0</v>
      </c>
      <c r="P29" s="31">
        <f t="shared" si="3"/>
        <v>0</v>
      </c>
      <c r="Q29" s="34">
        <f t="shared" si="3"/>
        <v>0</v>
      </c>
    </row>
    <row r="30" spans="2:19" ht="6.75" customHeight="1">
      <c r="B30" s="49">
        <v>432</v>
      </c>
      <c r="C30" s="252"/>
      <c r="D30" s="707" t="str">
        <f ca="1">VLOOKUP($B30,Aop!$A$2:$M$456,6,1)</f>
        <v/>
      </c>
      <c r="E30" s="708"/>
      <c r="F30" s="709"/>
      <c r="G30" s="185">
        <f ca="1">VLOOKUP($B30,Aop!$A$2:$M$456,4,1)</f>
        <v>0</v>
      </c>
      <c r="H30" s="32"/>
      <c r="I30" s="32"/>
      <c r="J30" s="32"/>
      <c r="K30" s="32"/>
      <c r="L30" s="32"/>
      <c r="M30" s="32"/>
      <c r="N30" s="32"/>
      <c r="O30" s="32"/>
      <c r="P30" s="32"/>
      <c r="Q30" s="33"/>
    </row>
    <row r="31" spans="2:19" ht="15" customHeight="1">
      <c r="B31" s="49">
        <v>433</v>
      </c>
      <c r="C31" s="252"/>
      <c r="D31" s="704" t="str">
        <f ca="1">VLOOKUP($B31,Aop!$A$2:$M$456,6,1)</f>
        <v xml:space="preserve">    8. Emisija akcijskog kapitala i drugi oblici povećanja kapitala</v>
      </c>
      <c r="E31" s="705"/>
      <c r="F31" s="706"/>
      <c r="G31" s="184">
        <f ca="1">VLOOKUP($B31,Aop!$A$2:$M$456,4,1)</f>
        <v>908</v>
      </c>
      <c r="H31" s="153"/>
      <c r="I31" s="153"/>
      <c r="J31" s="153"/>
      <c r="K31" s="153"/>
      <c r="L31" s="153"/>
      <c r="M31" s="153"/>
      <c r="N31" s="153"/>
      <c r="O31" s="31">
        <f t="shared" si="0"/>
        <v>0</v>
      </c>
      <c r="P31" s="153"/>
      <c r="Q31" s="34">
        <f t="shared" si="1"/>
        <v>0</v>
      </c>
      <c r="S31" s="134" t="s">
        <v>2435</v>
      </c>
    </row>
    <row r="32" spans="2:19" ht="15" customHeight="1">
      <c r="B32" s="49">
        <v>434</v>
      </c>
      <c r="C32" s="252"/>
      <c r="D32" s="707" t="str">
        <f ca="1">VLOOKUP($B32,Aop!$A$2:$M$456,6,1)</f>
        <v xml:space="preserve">    9. Sticanje sopstvenih akcija i drugi oblici smanjenja kapitala</v>
      </c>
      <c r="E32" s="708"/>
      <c r="F32" s="709"/>
      <c r="G32" s="185">
        <f ca="1">VLOOKUP($B32,Aop!$A$2:$M$456,4,1)</f>
        <v>909</v>
      </c>
      <c r="H32" s="155"/>
      <c r="I32" s="155"/>
      <c r="J32" s="155"/>
      <c r="K32" s="155"/>
      <c r="L32" s="155"/>
      <c r="M32" s="155"/>
      <c r="N32" s="155"/>
      <c r="O32" s="151">
        <f t="shared" si="0"/>
        <v>0</v>
      </c>
      <c r="P32" s="155"/>
      <c r="Q32" s="459">
        <f t="shared" si="1"/>
        <v>0</v>
      </c>
    </row>
    <row r="33" spans="2:19" ht="15" customHeight="1">
      <c r="B33" s="49">
        <v>435</v>
      </c>
      <c r="C33" s="252"/>
      <c r="D33" s="704" t="str">
        <f ca="1">VLOOKUP($B33,Aop!$A$2:$M$456,6,1)</f>
        <v xml:space="preserve">    10. Objavljene dividende </v>
      </c>
      <c r="E33" s="705"/>
      <c r="F33" s="706"/>
      <c r="G33" s="184">
        <f ca="1">VLOOKUP($B33,Aop!$A$2:$M$456,4,1)</f>
        <v>910</v>
      </c>
      <c r="H33" s="153"/>
      <c r="I33" s="153"/>
      <c r="J33" s="153"/>
      <c r="K33" s="153"/>
      <c r="L33" s="153"/>
      <c r="M33" s="153"/>
      <c r="N33" s="153"/>
      <c r="O33" s="152">
        <f t="shared" si="0"/>
        <v>0</v>
      </c>
      <c r="P33" s="153"/>
      <c r="Q33" s="460">
        <f t="shared" si="1"/>
        <v>0</v>
      </c>
    </row>
    <row r="34" spans="2:19" ht="15" customHeight="1">
      <c r="B34" s="49">
        <v>436</v>
      </c>
      <c r="C34" s="252"/>
      <c r="D34" s="707" t="str">
        <f ca="1">VLOOKUP($B34,Aop!$A$2:$M$456,6,1)</f>
        <v xml:space="preserve">    11. Drugi oblici raspodjele dobiti i pokriće gubitka</v>
      </c>
      <c r="E34" s="708"/>
      <c r="F34" s="709"/>
      <c r="G34" s="185">
        <f ca="1">VLOOKUP($B34,Aop!$A$2:$M$456,4,1)</f>
        <v>911</v>
      </c>
      <c r="H34" s="155"/>
      <c r="I34" s="155"/>
      <c r="J34" s="155"/>
      <c r="K34" s="155"/>
      <c r="L34" s="155"/>
      <c r="M34" s="155"/>
      <c r="N34" s="155"/>
      <c r="O34" s="32">
        <f t="shared" si="0"/>
        <v>0</v>
      </c>
      <c r="P34" s="155"/>
      <c r="Q34" s="33">
        <f t="shared" si="1"/>
        <v>0</v>
      </c>
    </row>
    <row r="35" spans="2:19" ht="15" customHeight="1">
      <c r="B35" s="49">
        <v>437</v>
      </c>
      <c r="C35" s="252"/>
      <c r="D35" s="704" t="str">
        <f ca="1">VLOOKUP($B35,Aop!$A$2:$M$456,6,1)</f>
        <v xml:space="preserve">    12. Ostale promjene</v>
      </c>
      <c r="E35" s="705"/>
      <c r="F35" s="706"/>
      <c r="G35" s="184">
        <f ca="1">VLOOKUP($B35,Aop!$A$2:$M$456,4,1)</f>
        <v>912</v>
      </c>
      <c r="H35" s="153"/>
      <c r="I35" s="153"/>
      <c r="J35" s="153"/>
      <c r="K35" s="153"/>
      <c r="L35" s="153"/>
      <c r="M35" s="153"/>
      <c r="N35" s="153"/>
      <c r="O35" s="152">
        <f t="shared" si="0"/>
        <v>0</v>
      </c>
      <c r="P35" s="153"/>
      <c r="Q35" s="460">
        <f t="shared" si="1"/>
        <v>0</v>
      </c>
    </row>
    <row r="36" spans="2:19" ht="9" customHeight="1">
      <c r="B36" s="49">
        <v>438</v>
      </c>
      <c r="C36" s="252"/>
      <c r="D36" s="707" t="str">
        <f ca="1">VLOOKUP($B36,Aop!$A$2:$M$456,6,1)</f>
        <v/>
      </c>
      <c r="E36" s="708"/>
      <c r="F36" s="709"/>
      <c r="G36" s="185">
        <f ca="1">VLOOKUP($B36,Aop!$A$2:$M$456,4,1)</f>
        <v>0</v>
      </c>
      <c r="H36" s="32"/>
      <c r="I36" s="32"/>
      <c r="J36" s="32"/>
      <c r="K36" s="32"/>
      <c r="L36" s="32"/>
      <c r="M36" s="32"/>
      <c r="N36" s="32"/>
      <c r="O36" s="32"/>
      <c r="P36" s="32"/>
      <c r="Q36" s="33"/>
      <c r="S36" s="134" t="s">
        <v>2435</v>
      </c>
    </row>
    <row r="37" spans="2:19" ht="25.5">
      <c r="B37" s="49">
        <v>439</v>
      </c>
      <c r="C37" s="252"/>
      <c r="D37" s="715" t="str">
        <f ca="1">VLOOKUP($B37,Aop!$A$2:$M$456,6,1)</f>
        <v xml:space="preserve">  13. Stanje na dan 31.12.2021. god. / 01.01.2022. god. 
   (904 ± 907 ± 908 - 909 - 910 ± 911 ± 912)</v>
      </c>
      <c r="E37" s="716"/>
      <c r="F37" s="717"/>
      <c r="G37" s="495">
        <f ca="1">VLOOKUP($B37,Aop!$A$2:$M$456,4,1)</f>
        <v>913</v>
      </c>
      <c r="H37" s="31">
        <f>SUM(H25, H29, -H32, -H33, H31, H34:H35)</f>
        <v>50777428</v>
      </c>
      <c r="I37" s="31">
        <f t="shared" ref="I37:Q37" si="4">SUM(I25, I29, -I32, -I33, I31, I34:I35)</f>
        <v>0</v>
      </c>
      <c r="J37" s="31">
        <f t="shared" si="4"/>
        <v>20971</v>
      </c>
      <c r="K37" s="31">
        <f t="shared" si="4"/>
        <v>0</v>
      </c>
      <c r="L37" s="31">
        <f t="shared" si="4"/>
        <v>0</v>
      </c>
      <c r="M37" s="31">
        <f t="shared" si="4"/>
        <v>15495786</v>
      </c>
      <c r="N37" s="31">
        <f t="shared" si="4"/>
        <v>19107814</v>
      </c>
      <c r="O37" s="31">
        <f t="shared" si="4"/>
        <v>85401999</v>
      </c>
      <c r="P37" s="31">
        <f t="shared" si="4"/>
        <v>0</v>
      </c>
      <c r="Q37" s="34">
        <f t="shared" si="4"/>
        <v>85401999</v>
      </c>
      <c r="S37" s="134" t="s">
        <v>2435</v>
      </c>
    </row>
    <row r="38" spans="2:19" ht="9" customHeight="1">
      <c r="B38" s="49">
        <v>440</v>
      </c>
      <c r="C38" s="252"/>
      <c r="D38" s="707" t="str">
        <f ca="1">VLOOKUP($B38,Aop!$A$2:$M$456,6,1)</f>
        <v/>
      </c>
      <c r="E38" s="708"/>
      <c r="F38" s="709"/>
      <c r="G38" s="185">
        <f ca="1">VLOOKUP($B38,Aop!$A$2:$M$456,4,1)</f>
        <v>0</v>
      </c>
      <c r="H38" s="32"/>
      <c r="I38" s="32"/>
      <c r="J38" s="32"/>
      <c r="K38" s="32"/>
      <c r="L38" s="32"/>
      <c r="M38" s="32"/>
      <c r="N38" s="32"/>
      <c r="O38" s="32"/>
      <c r="P38" s="32"/>
      <c r="Q38" s="33"/>
    </row>
    <row r="39" spans="2:19" ht="15.75" customHeight="1">
      <c r="B39" s="49">
        <v>441</v>
      </c>
      <c r="C39" s="252"/>
      <c r="D39" s="704" t="str">
        <f ca="1">VLOOKUP($B39,Aop!$A$2:$M$456,6,1)</f>
        <v xml:space="preserve">    14. Efekti promjena u računovodstvenim politikama</v>
      </c>
      <c r="E39" s="705"/>
      <c r="F39" s="706"/>
      <c r="G39" s="184">
        <f ca="1">VLOOKUP($B39,Aop!$A$2:$M$456,4,1)</f>
        <v>914</v>
      </c>
      <c r="H39" s="153"/>
      <c r="I39" s="153"/>
      <c r="J39" s="153"/>
      <c r="K39" s="153"/>
      <c r="L39" s="153"/>
      <c r="M39" s="153"/>
      <c r="N39" s="153"/>
      <c r="O39" s="152">
        <f t="shared" si="0"/>
        <v>0</v>
      </c>
      <c r="P39" s="153"/>
      <c r="Q39" s="460">
        <f t="shared" si="1"/>
        <v>0</v>
      </c>
    </row>
    <row r="40" spans="2:19" ht="15.75" customHeight="1">
      <c r="B40" s="49">
        <v>442</v>
      </c>
      <c r="C40" s="252"/>
      <c r="D40" s="707" t="str">
        <f ca="1">VLOOKUP($B40,Aop!$A$2:$M$456,6,1)</f>
        <v xml:space="preserve">    15. Efekti ispravke grešaka</v>
      </c>
      <c r="E40" s="708"/>
      <c r="F40" s="709"/>
      <c r="G40" s="185">
        <f ca="1">VLOOKUP($B40,Aop!$A$2:$M$456,4,1)</f>
        <v>915</v>
      </c>
      <c r="H40" s="155"/>
      <c r="I40" s="155"/>
      <c r="J40" s="155"/>
      <c r="K40" s="155"/>
      <c r="L40" s="155"/>
      <c r="M40" s="155"/>
      <c r="N40" s="155"/>
      <c r="O40" s="32">
        <f t="shared" si="0"/>
        <v>0</v>
      </c>
      <c r="P40" s="155"/>
      <c r="Q40" s="33">
        <f t="shared" si="1"/>
        <v>0</v>
      </c>
    </row>
    <row r="41" spans="2:19" ht="15.75" customHeight="1">
      <c r="B41" s="49">
        <v>443</v>
      </c>
      <c r="C41" s="252"/>
      <c r="D41" s="715" t="str">
        <f ca="1">VLOOKUP($B41,Aop!$A$2:$M$456,6,1)</f>
        <v xml:space="preserve">  Ponovo iskazano stanje na dan 01.01.2022. godine (913 ± 914 ± 915)</v>
      </c>
      <c r="E41" s="716"/>
      <c r="F41" s="717"/>
      <c r="G41" s="495">
        <f ca="1">VLOOKUP($B41,Aop!$A$2:$M$456,4,1)</f>
        <v>916</v>
      </c>
      <c r="H41" s="31">
        <f>SUM(H37:H40)</f>
        <v>50777428</v>
      </c>
      <c r="I41" s="31">
        <f t="shared" ref="I41:Q41" si="5">SUM(I37:I40)</f>
        <v>0</v>
      </c>
      <c r="J41" s="31">
        <f t="shared" si="5"/>
        <v>20971</v>
      </c>
      <c r="K41" s="31">
        <f t="shared" si="5"/>
        <v>0</v>
      </c>
      <c r="L41" s="31">
        <f t="shared" si="5"/>
        <v>0</v>
      </c>
      <c r="M41" s="31">
        <f t="shared" si="5"/>
        <v>15495786</v>
      </c>
      <c r="N41" s="31">
        <f t="shared" si="5"/>
        <v>19107814</v>
      </c>
      <c r="O41" s="31">
        <f t="shared" si="5"/>
        <v>85401999</v>
      </c>
      <c r="P41" s="31">
        <f t="shared" si="5"/>
        <v>0</v>
      </c>
      <c r="Q41" s="34">
        <f t="shared" si="5"/>
        <v>85401999</v>
      </c>
    </row>
    <row r="42" spans="2:19" ht="6.75" customHeight="1">
      <c r="B42" s="49">
        <v>444</v>
      </c>
      <c r="C42" s="252"/>
      <c r="D42" s="707" t="str">
        <f ca="1">VLOOKUP($B42,Aop!$A$2:$M$456,6,1)</f>
        <v/>
      </c>
      <c r="E42" s="708"/>
      <c r="F42" s="709"/>
      <c r="G42" s="185">
        <f ca="1">VLOOKUP($B42,Aop!$A$2:$M$456,4,1)</f>
        <v>0</v>
      </c>
      <c r="H42" s="32"/>
      <c r="I42" s="32"/>
      <c r="J42" s="32"/>
      <c r="K42" s="32"/>
      <c r="L42" s="32"/>
      <c r="M42" s="32"/>
      <c r="N42" s="32"/>
      <c r="O42" s="32"/>
      <c r="P42" s="32"/>
      <c r="Q42" s="33"/>
    </row>
    <row r="43" spans="2:19" ht="15" customHeight="1">
      <c r="B43" s="49">
        <v>445</v>
      </c>
      <c r="C43" s="252"/>
      <c r="D43" s="704" t="str">
        <f ca="1">VLOOKUP($B43,Aop!$A$2:$M$456,6,1)</f>
        <v xml:space="preserve">    17. Dobit/(gubitak) za godinu</v>
      </c>
      <c r="E43" s="705"/>
      <c r="F43" s="706"/>
      <c r="G43" s="184">
        <f ca="1">VLOOKUP($B43,Aop!$A$2:$M$456,4,1)</f>
        <v>917</v>
      </c>
      <c r="H43" s="153"/>
      <c r="I43" s="153"/>
      <c r="J43" s="153"/>
      <c r="K43" s="153"/>
      <c r="L43" s="153"/>
      <c r="M43" s="153"/>
      <c r="N43" s="153">
        <v>16300914</v>
      </c>
      <c r="O43" s="152">
        <f t="shared" si="0"/>
        <v>16300914</v>
      </c>
      <c r="P43" s="153"/>
      <c r="Q43" s="460">
        <f t="shared" si="1"/>
        <v>16300914</v>
      </c>
    </row>
    <row r="44" spans="2:19" ht="15" customHeight="1">
      <c r="B44" s="49">
        <v>446</v>
      </c>
      <c r="C44" s="252"/>
      <c r="D44" s="707" t="str">
        <f ca="1">VLOOKUP($B44,Aop!$A$2:$M$456,6,1)</f>
        <v xml:space="preserve">    18. Ostali ukupni rezultatat</v>
      </c>
      <c r="E44" s="708"/>
      <c r="F44" s="709"/>
      <c r="G44" s="185">
        <f ca="1">VLOOKUP($B44,Aop!$A$2:$M$456,4,1)</f>
        <v>918</v>
      </c>
      <c r="H44" s="155"/>
      <c r="I44" s="155"/>
      <c r="J44" s="155"/>
      <c r="K44" s="155"/>
      <c r="L44" s="155"/>
      <c r="M44" s="155"/>
      <c r="N44" s="155"/>
      <c r="O44" s="32">
        <f t="shared" si="0"/>
        <v>0</v>
      </c>
      <c r="P44" s="155"/>
      <c r="Q44" s="33">
        <f t="shared" si="1"/>
        <v>0</v>
      </c>
    </row>
    <row r="45" spans="2:19" ht="15" customHeight="1">
      <c r="B45" s="49">
        <v>447</v>
      </c>
      <c r="C45" s="252"/>
      <c r="D45" s="715" t="str">
        <f ca="1">VLOOKUP($B45,Aop!$A$2:$M$456,6,1)</f>
        <v xml:space="preserve">  19. Ukupna dobit/(gubitak) (± 917 ± 918)</v>
      </c>
      <c r="E45" s="716"/>
      <c r="F45" s="717"/>
      <c r="G45" s="495">
        <f ca="1">VLOOKUP($B45,Aop!$A$2:$M$456,4,1)</f>
        <v>919</v>
      </c>
      <c r="H45" s="31">
        <f>SUM(H43:H44)</f>
        <v>0</v>
      </c>
      <c r="I45" s="31">
        <f t="shared" ref="I45:Q45" si="6">SUM(I43:I44)</f>
        <v>0</v>
      </c>
      <c r="J45" s="31">
        <f t="shared" si="6"/>
        <v>0</v>
      </c>
      <c r="K45" s="31">
        <f>SUM(K43:K44)</f>
        <v>0</v>
      </c>
      <c r="L45" s="31">
        <f t="shared" si="6"/>
        <v>0</v>
      </c>
      <c r="M45" s="31">
        <f t="shared" si="6"/>
        <v>0</v>
      </c>
      <c r="N45" s="31">
        <f t="shared" si="6"/>
        <v>16300914</v>
      </c>
      <c r="O45" s="31">
        <f t="shared" si="6"/>
        <v>16300914</v>
      </c>
      <c r="P45" s="31">
        <f t="shared" si="6"/>
        <v>0</v>
      </c>
      <c r="Q45" s="34">
        <f t="shared" si="6"/>
        <v>16300914</v>
      </c>
    </row>
    <row r="46" spans="2:19" ht="4.5" customHeight="1">
      <c r="B46" s="49">
        <v>448</v>
      </c>
      <c r="C46" s="252"/>
      <c r="D46" s="707" t="str">
        <f ca="1">VLOOKUP($B46,Aop!$A$2:$M$456,6,1)</f>
        <v/>
      </c>
      <c r="E46" s="708"/>
      <c r="F46" s="709"/>
      <c r="G46" s="185">
        <f ca="1">VLOOKUP($B46,Aop!$A$2:$M$456,4,1)</f>
        <v>0</v>
      </c>
      <c r="H46" s="32"/>
      <c r="I46" s="32"/>
      <c r="J46" s="32"/>
      <c r="K46" s="32"/>
      <c r="L46" s="32"/>
      <c r="M46" s="32"/>
      <c r="N46" s="32"/>
      <c r="O46" s="32"/>
      <c r="P46" s="32"/>
      <c r="Q46" s="33"/>
    </row>
    <row r="47" spans="2:19" ht="15.75" customHeight="1">
      <c r="B47" s="49">
        <v>449</v>
      </c>
      <c r="C47" s="252"/>
      <c r="D47" s="704" t="str">
        <f ca="1">VLOOKUP($B47,Aop!$A$2:$M$456,6,1)</f>
        <v xml:space="preserve">    20. Emisija akcijskog kapitala i drugi oblici povećanja kapitala</v>
      </c>
      <c r="E47" s="705"/>
      <c r="F47" s="706"/>
      <c r="G47" s="184">
        <f ca="1">VLOOKUP($B47,Aop!$A$2:$M$456,4,1)</f>
        <v>920</v>
      </c>
      <c r="H47" s="153"/>
      <c r="I47" s="153"/>
      <c r="J47" s="153"/>
      <c r="K47" s="153"/>
      <c r="L47" s="153"/>
      <c r="M47" s="153"/>
      <c r="N47" s="153"/>
      <c r="O47" s="152">
        <f t="shared" si="0"/>
        <v>0</v>
      </c>
      <c r="P47" s="153"/>
      <c r="Q47" s="460">
        <f t="shared" si="1"/>
        <v>0</v>
      </c>
    </row>
    <row r="48" spans="2:19" ht="18.75" customHeight="1">
      <c r="B48" s="49">
        <v>450</v>
      </c>
      <c r="C48" s="252"/>
      <c r="D48" s="707" t="str">
        <f ca="1">VLOOKUP($B48,Aop!$A$2:$M$456,6,1)</f>
        <v xml:space="preserve">    21. Sticanje sopstvenih akcija i drugi oblici smanjenja kapitala</v>
      </c>
      <c r="E48" s="708"/>
      <c r="F48" s="709"/>
      <c r="G48" s="185">
        <f ca="1">VLOOKUP($B48,Aop!$A$2:$M$456,4,1)</f>
        <v>921</v>
      </c>
      <c r="H48" s="155"/>
      <c r="I48" s="155"/>
      <c r="J48" s="155"/>
      <c r="K48" s="155"/>
      <c r="L48" s="155"/>
      <c r="M48" s="155"/>
      <c r="N48" s="155"/>
      <c r="O48" s="32">
        <f t="shared" si="0"/>
        <v>0</v>
      </c>
      <c r="P48" s="155"/>
      <c r="Q48" s="33">
        <f t="shared" si="1"/>
        <v>0</v>
      </c>
    </row>
    <row r="49" spans="2:17" ht="15" customHeight="1">
      <c r="B49" s="49">
        <v>451</v>
      </c>
      <c r="C49" s="252"/>
      <c r="D49" s="704" t="str">
        <f ca="1">VLOOKUP($B49,Aop!$A$2:$M$456,6,1)</f>
        <v xml:space="preserve">    22. Objavljene dividende </v>
      </c>
      <c r="E49" s="705"/>
      <c r="F49" s="706"/>
      <c r="G49" s="184">
        <f ca="1">VLOOKUP($B49,Aop!$A$2:$M$456,4,1)</f>
        <v>922</v>
      </c>
      <c r="H49" s="153"/>
      <c r="I49" s="153"/>
      <c r="J49" s="153"/>
      <c r="K49" s="153"/>
      <c r="L49" s="153"/>
      <c r="M49" s="153"/>
      <c r="N49" s="153">
        <f>15700000+852000+30</f>
        <v>16552030</v>
      </c>
      <c r="O49" s="152">
        <f t="shared" si="0"/>
        <v>16552030</v>
      </c>
      <c r="P49" s="153"/>
      <c r="Q49" s="460">
        <f t="shared" si="1"/>
        <v>16552030</v>
      </c>
    </row>
    <row r="50" spans="2:17" ht="15" customHeight="1">
      <c r="B50" s="49">
        <v>452</v>
      </c>
      <c r="C50" s="252"/>
      <c r="D50" s="707" t="str">
        <f ca="1">VLOOKUP($B50,Aop!$A$2:$M$456,6,1)</f>
        <v xml:space="preserve">    23. Drugi oblici raspodjele dobiti i pokriće gubitka</v>
      </c>
      <c r="E50" s="708"/>
      <c r="F50" s="709"/>
      <c r="G50" s="185">
        <f ca="1">VLOOKUP($B50,Aop!$A$2:$M$456,4,1)</f>
        <v>923</v>
      </c>
      <c r="H50" s="155"/>
      <c r="I50" s="155"/>
      <c r="J50" s="155"/>
      <c r="K50" s="155"/>
      <c r="L50" s="155"/>
      <c r="M50" s="155">
        <v>-14556998</v>
      </c>
      <c r="N50" s="155"/>
      <c r="O50" s="32">
        <f t="shared" si="0"/>
        <v>-14556998</v>
      </c>
      <c r="P50" s="155"/>
      <c r="Q50" s="33">
        <f t="shared" si="1"/>
        <v>-14556998</v>
      </c>
    </row>
    <row r="51" spans="2:17" ht="15" customHeight="1">
      <c r="B51" s="49">
        <v>453</v>
      </c>
      <c r="C51" s="252"/>
      <c r="D51" s="704" t="str">
        <f ca="1">VLOOKUP($B51,Aop!$A$2:$M$456,6,1)</f>
        <v xml:space="preserve">    24. Ostale promjene</v>
      </c>
      <c r="E51" s="705"/>
      <c r="F51" s="706"/>
      <c r="G51" s="184">
        <f ca="1">VLOOKUP($B51,Aop!$A$2:$M$456,4,1)</f>
        <v>924</v>
      </c>
      <c r="H51" s="153"/>
      <c r="I51" s="153"/>
      <c r="J51" s="153">
        <v>852030</v>
      </c>
      <c r="K51" s="153"/>
      <c r="L51" s="153"/>
      <c r="M51" s="153"/>
      <c r="N51" s="153"/>
      <c r="O51" s="152">
        <f t="shared" si="0"/>
        <v>852030</v>
      </c>
      <c r="P51" s="153"/>
      <c r="Q51" s="460">
        <f t="shared" si="1"/>
        <v>852030</v>
      </c>
    </row>
    <row r="52" spans="2:17" ht="7.5" customHeight="1">
      <c r="B52" s="49">
        <v>454</v>
      </c>
      <c r="C52" s="252"/>
      <c r="D52" s="707" t="str">
        <f ca="1">VLOOKUP($B52,Aop!$A$2:$M$456,6,1)</f>
        <v/>
      </c>
      <c r="E52" s="708"/>
      <c r="F52" s="709"/>
      <c r="G52" s="185">
        <f ca="1">VLOOKUP($B52,Aop!$A$2:$M$456,4,1)</f>
        <v>0</v>
      </c>
      <c r="H52" s="32"/>
      <c r="I52" s="32"/>
      <c r="J52" s="32"/>
      <c r="K52" s="32"/>
      <c r="L52" s="32"/>
      <c r="M52" s="32"/>
      <c r="N52" s="32"/>
      <c r="O52" s="32"/>
      <c r="P52" s="32"/>
      <c r="Q52" s="33"/>
    </row>
    <row r="53" spans="2:17" ht="22.5" customHeight="1">
      <c r="B53" s="49">
        <v>455</v>
      </c>
      <c r="C53" s="252"/>
      <c r="D53" s="701" t="str">
        <f ca="1">VLOOKUP($B53,Aop!$A$2:$M$456,6,1)</f>
        <v>25. Stanje na dan 30.06.2022. godine (916 ± 919 ± 920  - 921 - 922± 923 ± 924)</v>
      </c>
      <c r="E53" s="702"/>
      <c r="F53" s="703"/>
      <c r="G53" s="496">
        <f ca="1">VLOOKUP($B53,Aop!$A$2:$M$456,4,1)</f>
        <v>925</v>
      </c>
      <c r="H53" s="461">
        <f>SUM(H41, H45,H47,-H48,-H49,H50:H51)</f>
        <v>50777428</v>
      </c>
      <c r="I53" s="461">
        <f t="shared" ref="I53:Q53" si="7">SUM(I41, I45,I47,-I48,-I49,I50:I51)</f>
        <v>0</v>
      </c>
      <c r="J53" s="461">
        <f t="shared" si="7"/>
        <v>873001</v>
      </c>
      <c r="K53" s="461">
        <f t="shared" si="7"/>
        <v>0</v>
      </c>
      <c r="L53" s="461">
        <f t="shared" si="7"/>
        <v>0</v>
      </c>
      <c r="M53" s="461">
        <f t="shared" si="7"/>
        <v>938788</v>
      </c>
      <c r="N53" s="461">
        <f t="shared" si="7"/>
        <v>18856698</v>
      </c>
      <c r="O53" s="407">
        <f>SUM(O41, O45,O47,-O48,-O49,O50:O51)</f>
        <v>71445915</v>
      </c>
      <c r="P53" s="461">
        <f t="shared" si="7"/>
        <v>0</v>
      </c>
      <c r="Q53" s="462">
        <f t="shared" si="7"/>
        <v>71445915</v>
      </c>
    </row>
    <row r="54" spans="2:17">
      <c r="C54" s="252"/>
      <c r="D54" s="39"/>
      <c r="E54" s="39"/>
      <c r="F54" s="39"/>
      <c r="G54" s="39"/>
      <c r="H54" s="39"/>
      <c r="I54" s="235"/>
      <c r="J54" s="36"/>
      <c r="K54" s="36"/>
      <c r="L54" s="36"/>
      <c r="M54" s="36"/>
    </row>
    <row r="55" spans="2:17">
      <c r="D55" s="178" t="str">
        <f ca="1">Podnozje_U</f>
        <v>U:</v>
      </c>
      <c r="E55" s="411" t="str">
        <f ca="1">Podatak_U</f>
        <v>Prijedoru</v>
      </c>
      <c r="H55" s="666" t="str">
        <f ca="1">Podnozje_Lice_sa_licencom</f>
        <v>Lice sa licencom:</v>
      </c>
      <c r="I55" s="666"/>
      <c r="K55" s="36" t="str">
        <f ca="1">Podnozje_MP</f>
        <v>(M.P.)</v>
      </c>
      <c r="L55" s="36"/>
      <c r="M55" s="36"/>
      <c r="O55" s="666" t="str">
        <f ca="1">Podnozje_Direktor</f>
        <v>Lice ovlašćeno za zastupanje:</v>
      </c>
      <c r="P55" s="666"/>
    </row>
    <row r="56" spans="2:17">
      <c r="C56" s="28"/>
      <c r="G56"/>
      <c r="H56" s="692" t="str">
        <f ca="1">lice</f>
        <v>Petrašin Rodić,dipl.ecc</v>
      </c>
      <c r="I56" s="692"/>
      <c r="O56" s="682" t="str">
        <f ca="1">Podatak_Direktor</f>
        <v>Stanko Vujković,dipl.ing.maš.</v>
      </c>
      <c r="P56" s="682"/>
    </row>
    <row r="57" spans="2:17">
      <c r="D57" s="178" t="str">
        <f ca="1">Podnozje_Dana</f>
        <v>Dana:</v>
      </c>
      <c r="E57" s="410" t="str">
        <f ca="1">Podatak_Dana</f>
        <v>31.07.2022.</v>
      </c>
      <c r="F57" s="37"/>
      <c r="H57" s="696" t="str">
        <f ca="1">licenca</f>
        <v>SR -0054/22</v>
      </c>
      <c r="I57" s="696"/>
      <c r="J57" s="9"/>
      <c r="K57" s="9"/>
      <c r="L57" s="9"/>
      <c r="M57" s="9"/>
      <c r="O57" s="696"/>
      <c r="P57" s="696"/>
      <c r="Q57" s="9"/>
    </row>
    <row r="58" spans="2:17">
      <c r="K58"/>
      <c r="L58"/>
      <c r="M58"/>
      <c r="N58"/>
      <c r="O58"/>
      <c r="P58"/>
      <c r="Q58"/>
    </row>
    <row r="59" spans="2:17"/>
    <row r="60" spans="2:17"/>
    <row r="61" spans="2:17"/>
    <row r="62" spans="2:17"/>
    <row r="63" spans="2:17"/>
    <row r="64" spans="2:17"/>
    <row r="65"/>
  </sheetData>
  <sheetProtection formatCells="0" deleteColumns="0" deleteRows="0"/>
  <mergeCells count="58">
    <mergeCell ref="D13:F13"/>
    <mergeCell ref="D15:Q15"/>
    <mergeCell ref="D14:Q14"/>
    <mergeCell ref="D20:F20"/>
    <mergeCell ref="H17:O17"/>
    <mergeCell ref="P17:P18"/>
    <mergeCell ref="Q17:Q18"/>
    <mergeCell ref="G17:G18"/>
    <mergeCell ref="D44:F44"/>
    <mergeCell ref="D45:F45"/>
    <mergeCell ref="D39:F39"/>
    <mergeCell ref="D38:F38"/>
    <mergeCell ref="P5:Q5"/>
    <mergeCell ref="P7:Q7"/>
    <mergeCell ref="D12:F12"/>
    <mergeCell ref="D11:F11"/>
    <mergeCell ref="D5:F6"/>
    <mergeCell ref="D7:F7"/>
    <mergeCell ref="D25:F25"/>
    <mergeCell ref="D26:F26"/>
    <mergeCell ref="D27:F27"/>
    <mergeCell ref="D42:F42"/>
    <mergeCell ref="D43:F43"/>
    <mergeCell ref="D36:F36"/>
    <mergeCell ref="D35:F35"/>
    <mergeCell ref="D33:F33"/>
    <mergeCell ref="D34:F34"/>
    <mergeCell ref="D31:F31"/>
    <mergeCell ref="D23:F23"/>
    <mergeCell ref="D19:F19"/>
    <mergeCell ref="D21:F21"/>
    <mergeCell ref="D22:F22"/>
    <mergeCell ref="D28:F28"/>
    <mergeCell ref="D29:F29"/>
    <mergeCell ref="E8:F8"/>
    <mergeCell ref="D9:F9"/>
    <mergeCell ref="D10:F10"/>
    <mergeCell ref="D17:F18"/>
    <mergeCell ref="D40:F40"/>
    <mergeCell ref="D41:F41"/>
    <mergeCell ref="D24:F24"/>
    <mergeCell ref="D32:F32"/>
    <mergeCell ref="D37:F37"/>
    <mergeCell ref="D30:F30"/>
    <mergeCell ref="D51:F51"/>
    <mergeCell ref="D52:F52"/>
    <mergeCell ref="D50:F50"/>
    <mergeCell ref="H56:I56"/>
    <mergeCell ref="D49:F49"/>
    <mergeCell ref="D46:F46"/>
    <mergeCell ref="D47:F47"/>
    <mergeCell ref="D48:F48"/>
    <mergeCell ref="O57:P57"/>
    <mergeCell ref="H55:I55"/>
    <mergeCell ref="D53:F53"/>
    <mergeCell ref="H57:I57"/>
    <mergeCell ref="O56:P56"/>
    <mergeCell ref="O55:P55"/>
  </mergeCells>
  <phoneticPr fontId="4" type="noConversion"/>
  <dataValidations xWindow="1368" yWindow="670" count="2">
    <dataValidation type="whole" operator="notEqual" allowBlank="1" showInputMessage="1" showErrorMessage="1" errorTitle="Graška" error="Unose se vrijednosti u konvertibilnim markama, bez decimalnih mjesta." sqref="H43:N44 P39:P40 P21 P27:P28 H27:N28 H23:N25 P31:P35 P47:P51 H31:N35 H39:N40 H47:N51 P23:P25 P43:P44 H21:N21">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29:P29 P45:P46 P41:Q41 Q42:Q53 H45:N46 H25:N26 P42 H41:N42 P30 H30:N30 O30:O51 H52:P53 P22 H22:N22 P20 H20:N20 Q20:Q40 O20:O28 H36:N38">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sheetPr codeName="Sheet10">
    <tabColor rgb="FFFF0000"/>
  </sheetPr>
  <dimension ref="A1:I102"/>
  <sheetViews>
    <sheetView showGridLines="0" showRowColHeaders="0" workbookViewId="0">
      <pane xSplit="2" ySplit="1" topLeftCell="C74" activePane="bottomRight" state="frozen"/>
      <selection activeCell="C12" sqref="C12:O12"/>
      <selection pane="topRight" activeCell="C12" sqref="C12:O12"/>
      <selection pane="bottomLeft" activeCell="C12" sqref="C12:O12"/>
      <selection pane="bottomRight" activeCell="E85" sqref="E85"/>
    </sheetView>
  </sheetViews>
  <sheetFormatPr defaultRowHeight="12.75"/>
  <cols>
    <col min="1" max="1" width="16.140625" customWidth="1"/>
    <col min="2" max="2" width="27.42578125" customWidth="1"/>
    <col min="3" max="3" width="32.42578125" customWidth="1"/>
    <col min="4" max="5" width="42.7109375" customWidth="1"/>
    <col min="6" max="7" width="38.28515625" customWidth="1"/>
    <col min="8" max="8" width="31.28515625" customWidth="1"/>
    <col min="9" max="9" width="12.5703125" customWidth="1"/>
  </cols>
  <sheetData>
    <row r="1" spans="1:9" ht="15">
      <c r="A1" s="2" t="s">
        <v>1513</v>
      </c>
      <c r="B1" s="2" t="s">
        <v>1528</v>
      </c>
      <c r="C1" s="2" t="s">
        <v>1509</v>
      </c>
      <c r="D1" s="2" t="s">
        <v>1512</v>
      </c>
      <c r="E1" s="2" t="s">
        <v>1510</v>
      </c>
      <c r="F1" s="2" t="s">
        <v>2165</v>
      </c>
      <c r="G1" s="35" t="s">
        <v>2372</v>
      </c>
      <c r="H1" s="2" t="s">
        <v>1540</v>
      </c>
      <c r="I1" s="2" t="s">
        <v>1694</v>
      </c>
    </row>
    <row r="2" spans="1:9">
      <c r="A2" s="1" t="s">
        <v>2328</v>
      </c>
      <c r="B2" s="1" t="s">
        <v>2329</v>
      </c>
      <c r="C2" s="1" t="s">
        <v>2418</v>
      </c>
      <c r="D2" s="1" t="s">
        <v>2419</v>
      </c>
      <c r="E2" s="1" t="s">
        <v>2420</v>
      </c>
      <c r="F2" t="s">
        <v>2166</v>
      </c>
      <c r="G2" s="7" t="str">
        <f t="shared" ref="G2:G34" ca="1" si="0">CHOOSE( ID_Jezik, C2, D2, E2,F2)</f>
        <v>Podaci u zaglavlju:</v>
      </c>
      <c r="H2" s="7" t="str">
        <f>SUBSTITUTE(A2&amp;"_"&amp;B2," ","_")</f>
        <v>Objasnjenja_Zaglavlje</v>
      </c>
      <c r="I2">
        <f t="shared" ref="I2:I34" si="1">COUNTIF($B$2:$B$1028,"="&amp;B2)</f>
        <v>1</v>
      </c>
    </row>
    <row r="3" spans="1:9">
      <c r="A3" s="1" t="s">
        <v>2328</v>
      </c>
      <c r="B3" s="1" t="s">
        <v>2330</v>
      </c>
      <c r="C3" s="1" t="s">
        <v>2462</v>
      </c>
      <c r="D3" s="1" t="s">
        <v>2463</v>
      </c>
      <c r="E3" s="1" t="s">
        <v>2421</v>
      </c>
      <c r="F3" t="s">
        <v>2167</v>
      </c>
      <c r="G3" s="7" t="str">
        <f t="shared" ca="1" si="0"/>
        <v>Podaci ispod izvještaja:</v>
      </c>
      <c r="H3" s="7" t="str">
        <f t="shared" ref="H3:H48" si="2">SUBSTITUTE(A3&amp;"_"&amp;B3," ","_")</f>
        <v>Objasnjenja_Podnozje</v>
      </c>
      <c r="I3">
        <f t="shared" si="1"/>
        <v>1</v>
      </c>
    </row>
    <row r="4" spans="1:9">
      <c r="A4" s="1" t="s">
        <v>2328</v>
      </c>
      <c r="B4" s="1" t="s">
        <v>2331</v>
      </c>
      <c r="C4" s="1" t="s">
        <v>2354</v>
      </c>
      <c r="D4" s="1" t="s">
        <v>2394</v>
      </c>
      <c r="E4" s="1" t="s">
        <v>2355</v>
      </c>
      <c r="F4" t="s">
        <v>2168</v>
      </c>
      <c r="G4" s="7" t="str">
        <f t="shared" ca="1" si="0"/>
        <v>Naziv banke</v>
      </c>
      <c r="H4" s="7" t="str">
        <f t="shared" si="2"/>
        <v>Objasnjenja_Banka</v>
      </c>
      <c r="I4">
        <f t="shared" si="1"/>
        <v>1</v>
      </c>
    </row>
    <row r="5" spans="1:9">
      <c r="A5" s="1" t="s">
        <v>2328</v>
      </c>
      <c r="B5" s="1" t="s">
        <v>2332</v>
      </c>
      <c r="C5" s="1" t="s">
        <v>2333</v>
      </c>
      <c r="D5" s="1" t="s">
        <v>2395</v>
      </c>
      <c r="E5" s="1" t="s">
        <v>1511</v>
      </c>
      <c r="F5" t="s">
        <v>2169</v>
      </c>
      <c r="G5" s="7" t="str">
        <f t="shared" ca="1" si="0"/>
        <v>Računi u banci:</v>
      </c>
      <c r="H5" s="7" t="str">
        <f t="shared" si="2"/>
        <v>Objasnjenja_Bankovni_racun</v>
      </c>
      <c r="I5" s="3">
        <f t="shared" si="1"/>
        <v>1</v>
      </c>
    </row>
    <row r="6" spans="1:9">
      <c r="A6" s="1" t="s">
        <v>2328</v>
      </c>
      <c r="B6" s="1" t="s">
        <v>1363</v>
      </c>
      <c r="C6" s="1" t="s">
        <v>2334</v>
      </c>
      <c r="D6" s="1" t="s">
        <v>1360</v>
      </c>
      <c r="E6" s="1" t="s">
        <v>1361</v>
      </c>
      <c r="F6" s="420" t="s">
        <v>1362</v>
      </c>
      <c r="G6" s="7" t="str">
        <f ca="1">CHOOSE( ID_Jezik, C6, D6, E6,F6)</f>
        <v>Kontakt podaci:</v>
      </c>
      <c r="H6" s="7" t="str">
        <f t="shared" ref="H6:H11" si="3">SUBSTITUTE(A6&amp;"_"&amp;B6," ","_")</f>
        <v>Objasnjenja_Kontakti</v>
      </c>
      <c r="I6" s="3">
        <f>COUNTIF($B$2:$B$1028,"="&amp;B6)</f>
        <v>1</v>
      </c>
    </row>
    <row r="7" spans="1:9">
      <c r="A7" s="1" t="s">
        <v>2328</v>
      </c>
      <c r="B7" s="1" t="s">
        <v>1728</v>
      </c>
      <c r="C7" s="1" t="s">
        <v>1700</v>
      </c>
      <c r="D7" s="1" t="s">
        <v>1727</v>
      </c>
      <c r="E7" s="1" t="s">
        <v>1702</v>
      </c>
      <c r="F7" t="s">
        <v>2170</v>
      </c>
      <c r="G7" s="7" t="str">
        <f t="shared" ca="1" si="0"/>
        <v>Glavni račun:</v>
      </c>
      <c r="H7" s="7" t="str">
        <f t="shared" si="3"/>
        <v>Objasnjenja_Glavni_racun</v>
      </c>
      <c r="I7" s="3">
        <f t="shared" si="1"/>
        <v>1</v>
      </c>
    </row>
    <row r="8" spans="1:9">
      <c r="A8" s="1" t="s">
        <v>2328</v>
      </c>
      <c r="B8" s="1" t="s">
        <v>2389</v>
      </c>
      <c r="C8" s="1" t="s">
        <v>2389</v>
      </c>
      <c r="D8" s="1" t="s">
        <v>2396</v>
      </c>
      <c r="E8" s="1" t="s">
        <v>2390</v>
      </c>
      <c r="F8" t="s">
        <v>2171</v>
      </c>
      <c r="G8" s="7" t="str">
        <f t="shared" ca="1" si="0"/>
        <v>Navigacija</v>
      </c>
      <c r="H8" s="7" t="str">
        <f t="shared" si="3"/>
        <v>Objasnjenja_Navigacija</v>
      </c>
      <c r="I8" s="3">
        <f t="shared" si="1"/>
        <v>1</v>
      </c>
    </row>
    <row r="9" spans="1:9">
      <c r="A9" s="1" t="s">
        <v>2328</v>
      </c>
      <c r="B9" s="1" t="s">
        <v>2304</v>
      </c>
      <c r="C9" s="1" t="s">
        <v>2304</v>
      </c>
      <c r="D9" s="1" t="s">
        <v>1732</v>
      </c>
      <c r="E9" s="1" t="s">
        <v>1729</v>
      </c>
      <c r="F9" t="s">
        <v>2172</v>
      </c>
      <c r="G9" s="7" t="str">
        <f t="shared" ca="1" si="0"/>
        <v>Dan</v>
      </c>
      <c r="H9" s="7" t="str">
        <f t="shared" si="3"/>
        <v>Objasnjenja_Dan</v>
      </c>
      <c r="I9" s="3">
        <f t="shared" si="1"/>
        <v>1</v>
      </c>
    </row>
    <row r="10" spans="1:9">
      <c r="A10" s="1" t="s">
        <v>2328</v>
      </c>
      <c r="B10" s="1" t="s">
        <v>2303</v>
      </c>
      <c r="C10" s="1" t="s">
        <v>2303</v>
      </c>
      <c r="D10" s="1" t="s">
        <v>1733</v>
      </c>
      <c r="E10" s="1" t="s">
        <v>1730</v>
      </c>
      <c r="F10" t="s">
        <v>2173</v>
      </c>
      <c r="G10" s="7" t="str">
        <f t="shared" ca="1" si="0"/>
        <v>Mjesec</v>
      </c>
      <c r="H10" s="7" t="str">
        <f t="shared" si="3"/>
        <v>Objasnjenja_Mjesec</v>
      </c>
      <c r="I10" s="3">
        <f t="shared" si="1"/>
        <v>1</v>
      </c>
    </row>
    <row r="11" spans="1:9">
      <c r="A11" s="1" t="s">
        <v>2328</v>
      </c>
      <c r="B11" s="1" t="s">
        <v>2299</v>
      </c>
      <c r="C11" s="1" t="s">
        <v>2299</v>
      </c>
      <c r="D11" s="1" t="s">
        <v>1734</v>
      </c>
      <c r="E11" s="1" t="s">
        <v>1731</v>
      </c>
      <c r="F11" t="s">
        <v>2174</v>
      </c>
      <c r="G11" s="7" t="str">
        <f t="shared" ca="1" si="0"/>
        <v>Godina</v>
      </c>
      <c r="H11" s="7" t="str">
        <f t="shared" si="3"/>
        <v>Objasnjenja_Godina</v>
      </c>
      <c r="I11" s="3">
        <f t="shared" si="1"/>
        <v>1</v>
      </c>
    </row>
    <row r="12" spans="1:9">
      <c r="A12" s="1" t="s">
        <v>2335</v>
      </c>
      <c r="B12" s="1" t="s">
        <v>2336</v>
      </c>
      <c r="C12" s="1" t="s">
        <v>2337</v>
      </c>
      <c r="D12" s="1" t="s">
        <v>2350</v>
      </c>
      <c r="E12" s="1" t="s">
        <v>2345</v>
      </c>
      <c r="F12" t="s">
        <v>2175</v>
      </c>
      <c r="G12" s="7" t="str">
        <f t="shared" ca="1" si="0"/>
        <v>Adresa i broj:</v>
      </c>
      <c r="H12" s="7" t="str">
        <f t="shared" si="2"/>
        <v>Kontakt_Adresa</v>
      </c>
      <c r="I12" s="3">
        <f t="shared" si="1"/>
        <v>1</v>
      </c>
    </row>
    <row r="13" spans="1:9">
      <c r="A13" s="1" t="s">
        <v>2335</v>
      </c>
      <c r="B13" s="1" t="s">
        <v>2342</v>
      </c>
      <c r="C13" s="1" t="s">
        <v>2339</v>
      </c>
      <c r="D13" s="1" t="s">
        <v>2351</v>
      </c>
      <c r="E13" s="1" t="s">
        <v>2347</v>
      </c>
      <c r="F13" t="s">
        <v>2176</v>
      </c>
      <c r="G13" s="7" t="str">
        <f t="shared" ca="1" si="0"/>
        <v>Internet adresa:</v>
      </c>
      <c r="H13" s="7" t="str">
        <f t="shared" si="2"/>
        <v>Kontakt_web</v>
      </c>
      <c r="I13" s="3">
        <f t="shared" si="1"/>
        <v>1</v>
      </c>
    </row>
    <row r="14" spans="1:9">
      <c r="A14" s="1" t="s">
        <v>2335</v>
      </c>
      <c r="B14" s="1" t="s">
        <v>2338</v>
      </c>
      <c r="C14" s="1" t="s">
        <v>2422</v>
      </c>
      <c r="D14" s="1" t="s">
        <v>2423</v>
      </c>
      <c r="E14" s="1" t="s">
        <v>2346</v>
      </c>
      <c r="F14" t="s">
        <v>2177</v>
      </c>
      <c r="G14" s="7" t="str">
        <f t="shared" ca="1" si="0"/>
        <v>Adresa e-pošte (email):</v>
      </c>
      <c r="H14" s="7" t="str">
        <f t="shared" si="2"/>
        <v>Kontakt_email</v>
      </c>
      <c r="I14" s="3">
        <f t="shared" si="1"/>
        <v>1</v>
      </c>
    </row>
    <row r="15" spans="1:9">
      <c r="A15" s="1" t="s">
        <v>2335</v>
      </c>
      <c r="B15" s="1" t="s">
        <v>2343</v>
      </c>
      <c r="C15" s="1" t="s">
        <v>2340</v>
      </c>
      <c r="D15" s="1" t="s">
        <v>2352</v>
      </c>
      <c r="E15" s="1" t="s">
        <v>2348</v>
      </c>
      <c r="F15" t="s">
        <v>2178</v>
      </c>
      <c r="G15" s="7" t="str">
        <f t="shared" ca="1" si="0"/>
        <v>Telefon:</v>
      </c>
      <c r="H15" s="7" t="str">
        <f t="shared" si="2"/>
        <v>Kontakt_tel</v>
      </c>
      <c r="I15" s="3">
        <f t="shared" si="1"/>
        <v>1</v>
      </c>
    </row>
    <row r="16" spans="1:9">
      <c r="A16" s="1" t="s">
        <v>2335</v>
      </c>
      <c r="B16" s="1" t="s">
        <v>2344</v>
      </c>
      <c r="C16" s="1" t="s">
        <v>2341</v>
      </c>
      <c r="D16" s="1" t="s">
        <v>2353</v>
      </c>
      <c r="E16" s="1" t="s">
        <v>2349</v>
      </c>
      <c r="F16" t="s">
        <v>2179</v>
      </c>
      <c r="G16" s="7" t="str">
        <f t="shared" ca="1" si="0"/>
        <v>Faks:</v>
      </c>
      <c r="H16" s="7" t="str">
        <f t="shared" si="2"/>
        <v>Kontakt_fax</v>
      </c>
      <c r="I16" s="3">
        <f t="shared" si="1"/>
        <v>1</v>
      </c>
    </row>
    <row r="17" spans="1:9">
      <c r="A17" s="1" t="s">
        <v>2383</v>
      </c>
      <c r="B17" s="1" t="s">
        <v>2307</v>
      </c>
      <c r="C17" s="1" t="s">
        <v>2369</v>
      </c>
      <c r="D17" s="1" t="s">
        <v>2399</v>
      </c>
      <c r="E17" s="1" t="s">
        <v>2369</v>
      </c>
      <c r="F17" t="s">
        <v>2180</v>
      </c>
      <c r="G17" s="1" t="str">
        <f t="shared" ca="1" si="0"/>
        <v>Izaberite jezik | Choose language</v>
      </c>
      <c r="H17" s="7" t="str">
        <f t="shared" si="2"/>
        <v>Osnovno_Izaberite_jezik</v>
      </c>
      <c r="I17">
        <f t="shared" si="1"/>
        <v>1</v>
      </c>
    </row>
    <row r="18" spans="1:9">
      <c r="A18" s="1" t="s">
        <v>2383</v>
      </c>
      <c r="B18" s="1" t="s">
        <v>1751</v>
      </c>
      <c r="C18" s="1" t="s">
        <v>1754</v>
      </c>
      <c r="D18" s="1" t="s">
        <v>1753</v>
      </c>
      <c r="E18" s="1" t="s">
        <v>1752</v>
      </c>
      <c r="F18" t="s">
        <v>2181</v>
      </c>
      <c r="G18" s="7" t="str">
        <f t="shared" ca="1" si="0"/>
        <v>Izvještajni period:</v>
      </c>
      <c r="H18" s="7" t="str">
        <f>SUBSTITUTE(A18&amp;"_"&amp;B18," ","_")</f>
        <v>Osnovno_Izvjestajni_period</v>
      </c>
      <c r="I18" s="3">
        <f t="shared" si="1"/>
        <v>1</v>
      </c>
    </row>
    <row r="19" spans="1:9">
      <c r="A19" s="1" t="s">
        <v>2383</v>
      </c>
      <c r="B19" s="1" t="s">
        <v>1723</v>
      </c>
      <c r="C19" s="1" t="s">
        <v>1696</v>
      </c>
      <c r="D19" s="1" t="s">
        <v>1725</v>
      </c>
      <c r="E19" s="1" t="s">
        <v>1703</v>
      </c>
      <c r="F19" t="s">
        <v>2182</v>
      </c>
      <c r="G19" s="7" t="str">
        <f t="shared" ca="1" si="0"/>
        <v>Početak izvještajnog perioda:</v>
      </c>
      <c r="H19" s="7" t="str">
        <f t="shared" si="2"/>
        <v>Osnovno_Pocetak_perioda</v>
      </c>
      <c r="I19">
        <f t="shared" si="1"/>
        <v>1</v>
      </c>
    </row>
    <row r="20" spans="1:9">
      <c r="A20" s="1" t="s">
        <v>2383</v>
      </c>
      <c r="B20" s="1" t="s">
        <v>1724</v>
      </c>
      <c r="C20" s="1" t="s">
        <v>1695</v>
      </c>
      <c r="D20" s="1" t="s">
        <v>1726</v>
      </c>
      <c r="E20" s="1" t="s">
        <v>1704</v>
      </c>
      <c r="F20" t="s">
        <v>2183</v>
      </c>
      <c r="G20" s="7" t="str">
        <f t="shared" ca="1" si="0"/>
        <v>Kraj izvještajnog perioda:</v>
      </c>
      <c r="H20" s="7" t="str">
        <f t="shared" si="2"/>
        <v>Osnovno_Kraj_perioda</v>
      </c>
      <c r="I20">
        <f t="shared" si="1"/>
        <v>1</v>
      </c>
    </row>
    <row r="21" spans="1:9">
      <c r="A21" s="1" t="s">
        <v>2383</v>
      </c>
      <c r="B21" s="1" t="s">
        <v>2425</v>
      </c>
      <c r="C21" s="1" t="s">
        <v>1778</v>
      </c>
      <c r="D21" s="1" t="s">
        <v>1779</v>
      </c>
      <c r="E21" s="1" t="s">
        <v>1780</v>
      </c>
      <c r="F21" t="s">
        <v>2184</v>
      </c>
      <c r="G21" s="7" t="str">
        <f t="shared" ca="1" si="0"/>
        <v>Vrsta izvještaja:</v>
      </c>
      <c r="H21" s="7" t="str">
        <f>SUBSTITUTE(A21&amp;"_"&amp;B21," ","_")</f>
        <v>Osnovno_Vrsta_izvjestaja</v>
      </c>
      <c r="I21" s="3">
        <f t="shared" si="1"/>
        <v>1</v>
      </c>
    </row>
    <row r="22" spans="1:9">
      <c r="A22" s="1" t="s">
        <v>2356</v>
      </c>
      <c r="B22" s="1" t="s">
        <v>2357</v>
      </c>
      <c r="C22" s="1" t="s">
        <v>2301</v>
      </c>
      <c r="D22" s="1" t="s">
        <v>2365</v>
      </c>
      <c r="E22" s="1" t="s">
        <v>2361</v>
      </c>
      <c r="F22" t="s">
        <v>2185</v>
      </c>
      <c r="G22" s="7" t="str">
        <f t="shared" ca="1" si="0"/>
        <v>Prvi kvartal</v>
      </c>
      <c r="H22" s="7" t="str">
        <f t="shared" si="2"/>
        <v>Vrsta_izvjestaja_Prvi_kvartal</v>
      </c>
      <c r="I22" s="3">
        <f t="shared" si="1"/>
        <v>1</v>
      </c>
    </row>
    <row r="23" spans="1:9">
      <c r="A23" s="1" t="s">
        <v>2356</v>
      </c>
      <c r="B23" s="1" t="s">
        <v>2358</v>
      </c>
      <c r="C23" s="1" t="s">
        <v>2300</v>
      </c>
      <c r="D23" s="1" t="s">
        <v>2366</v>
      </c>
      <c r="E23" s="1" t="s">
        <v>2363</v>
      </c>
      <c r="F23" t="s">
        <v>2186</v>
      </c>
      <c r="G23" s="7" t="str">
        <f t="shared" ca="1" si="0"/>
        <v>Polugodišnji</v>
      </c>
      <c r="H23" s="7" t="str">
        <f t="shared" si="2"/>
        <v>Vrsta_izvjestaja_Polugodisnji</v>
      </c>
      <c r="I23" s="3">
        <f t="shared" si="1"/>
        <v>1</v>
      </c>
    </row>
    <row r="24" spans="1:9">
      <c r="A24" s="1" t="s">
        <v>2356</v>
      </c>
      <c r="B24" s="1" t="s">
        <v>2359</v>
      </c>
      <c r="C24" s="1" t="s">
        <v>2302</v>
      </c>
      <c r="D24" s="1" t="s">
        <v>2367</v>
      </c>
      <c r="E24" s="1" t="s">
        <v>2362</v>
      </c>
      <c r="F24" t="s">
        <v>2187</v>
      </c>
      <c r="G24" s="7" t="str">
        <f t="shared" ca="1" si="0"/>
        <v>Treći kvartal</v>
      </c>
      <c r="H24" s="7" t="str">
        <f t="shared" si="2"/>
        <v>Vrsta_izvjestaja_Treci_kvartal</v>
      </c>
      <c r="I24" s="3">
        <f t="shared" si="1"/>
        <v>1</v>
      </c>
    </row>
    <row r="25" spans="1:9">
      <c r="A25" s="1" t="s">
        <v>2356</v>
      </c>
      <c r="B25" s="1" t="s">
        <v>2360</v>
      </c>
      <c r="C25" s="1" t="s">
        <v>2297</v>
      </c>
      <c r="D25" s="1" t="s">
        <v>2368</v>
      </c>
      <c r="E25" s="1" t="s">
        <v>2364</v>
      </c>
      <c r="F25" t="s">
        <v>2188</v>
      </c>
      <c r="G25" s="7" t="str">
        <f t="shared" ca="1" si="0"/>
        <v>Godišnji</v>
      </c>
      <c r="H25" s="7" t="str">
        <f t="shared" si="2"/>
        <v>Vrsta_izvjestaja_Godisnji</v>
      </c>
      <c r="I25" s="3">
        <f t="shared" si="1"/>
        <v>1</v>
      </c>
    </row>
    <row r="26" spans="1:9">
      <c r="A26" s="1" t="s">
        <v>2356</v>
      </c>
      <c r="B26" s="1" t="s">
        <v>1774</v>
      </c>
      <c r="C26" s="1" t="s">
        <v>1775</v>
      </c>
      <c r="D26" s="1" t="s">
        <v>1776</v>
      </c>
      <c r="E26" s="1" t="s">
        <v>1777</v>
      </c>
      <c r="F26" t="s">
        <v>2189</v>
      </c>
      <c r="G26" s="7" t="str">
        <f t="shared" ca="1" si="0"/>
        <v>Specifični</v>
      </c>
      <c r="H26" s="7" t="str">
        <f>SUBSTITUTE(A26&amp;"_"&amp;B26," ","_")</f>
        <v>Vrsta_izvjestaja_Specificni</v>
      </c>
      <c r="I26" s="3">
        <f t="shared" si="1"/>
        <v>1</v>
      </c>
    </row>
    <row r="27" spans="1:9">
      <c r="A27" t="s">
        <v>2329</v>
      </c>
      <c r="B27" t="s">
        <v>1529</v>
      </c>
      <c r="C27" t="s">
        <v>1351</v>
      </c>
      <c r="D27" t="s">
        <v>1348</v>
      </c>
      <c r="E27" t="s">
        <v>1349</v>
      </c>
      <c r="F27" t="s">
        <v>1350</v>
      </c>
      <c r="G27" t="str">
        <f t="shared" ca="1" si="0"/>
        <v>Matični broj</v>
      </c>
      <c r="H27" t="str">
        <f t="shared" si="2"/>
        <v>Zaglavlje_MB</v>
      </c>
      <c r="I27">
        <f t="shared" si="1"/>
        <v>1</v>
      </c>
    </row>
    <row r="28" spans="1:9">
      <c r="A28" t="s">
        <v>2329</v>
      </c>
      <c r="B28" t="s">
        <v>1530</v>
      </c>
      <c r="C28" t="s">
        <v>1352</v>
      </c>
      <c r="D28" t="s">
        <v>1353</v>
      </c>
      <c r="E28" t="s">
        <v>1354</v>
      </c>
      <c r="F28" t="s">
        <v>1355</v>
      </c>
      <c r="G28" t="str">
        <f t="shared" ca="1" si="0"/>
        <v>Šifra djelatnosti</v>
      </c>
      <c r="H28" t="str">
        <f t="shared" si="2"/>
        <v>Zaglavlje_Sifra_djelatnosti</v>
      </c>
      <c r="I28">
        <f t="shared" si="1"/>
        <v>1</v>
      </c>
    </row>
    <row r="29" spans="1:9">
      <c r="A29" t="s">
        <v>2329</v>
      </c>
      <c r="B29" t="s">
        <v>1531</v>
      </c>
      <c r="C29" t="s">
        <v>1377</v>
      </c>
      <c r="D29" t="s">
        <v>1378</v>
      </c>
      <c r="E29" t="s">
        <v>1508</v>
      </c>
      <c r="F29" t="s">
        <v>2190</v>
      </c>
      <c r="G29" t="str">
        <f t="shared" ca="1" si="0"/>
        <v xml:space="preserve">Naziv privrednog društva, zadruge, drugog pravnog lica ili preduzetnika: </v>
      </c>
      <c r="H29" t="str">
        <f t="shared" si="2"/>
        <v>Zaglavlje_Naziv_preduzeca</v>
      </c>
      <c r="I29">
        <f t="shared" si="1"/>
        <v>1</v>
      </c>
    </row>
    <row r="30" spans="1:9">
      <c r="A30" t="s">
        <v>2329</v>
      </c>
      <c r="B30" t="s">
        <v>1532</v>
      </c>
      <c r="C30" t="s">
        <v>1506</v>
      </c>
      <c r="D30" t="s">
        <v>1517</v>
      </c>
      <c r="E30" t="s">
        <v>1507</v>
      </c>
      <c r="F30" t="s">
        <v>2191</v>
      </c>
      <c r="G30" t="str">
        <f t="shared" ca="1" si="0"/>
        <v>Sjedište:</v>
      </c>
      <c r="H30" t="str">
        <f t="shared" si="2"/>
        <v>Zaglavlje_Sjediste</v>
      </c>
      <c r="I30">
        <f t="shared" si="1"/>
        <v>1</v>
      </c>
    </row>
    <row r="31" spans="1:9">
      <c r="A31" t="s">
        <v>2329</v>
      </c>
      <c r="B31" t="s">
        <v>1459</v>
      </c>
      <c r="C31" t="s">
        <v>1459</v>
      </c>
      <c r="D31" t="s">
        <v>998</v>
      </c>
      <c r="E31" t="s">
        <v>999</v>
      </c>
      <c r="F31" t="s">
        <v>2192</v>
      </c>
      <c r="G31" t="str">
        <f t="shared" ca="1" si="0"/>
        <v>JIB</v>
      </c>
      <c r="H31" t="str">
        <f t="shared" si="2"/>
        <v>Zaglavlje_JIB</v>
      </c>
      <c r="I31">
        <f t="shared" si="1"/>
        <v>1</v>
      </c>
    </row>
    <row r="32" spans="1:9">
      <c r="A32" t="s">
        <v>2329</v>
      </c>
      <c r="B32" t="s">
        <v>1533</v>
      </c>
      <c r="C32" t="s">
        <v>1000</v>
      </c>
      <c r="D32" t="s">
        <v>1001</v>
      </c>
      <c r="E32" t="s">
        <v>1511</v>
      </c>
      <c r="F32" t="s">
        <v>2193</v>
      </c>
      <c r="G32" t="str">
        <f t="shared" ca="1" si="0"/>
        <v>Račun kod ovlašćene organizacije za platni promet:</v>
      </c>
      <c r="H32" t="str">
        <f t="shared" si="2"/>
        <v>Zaglavlje_Ziro_racun</v>
      </c>
      <c r="I32">
        <f t="shared" si="1"/>
        <v>1</v>
      </c>
    </row>
    <row r="33" spans="1:9">
      <c r="A33" t="s">
        <v>1692</v>
      </c>
      <c r="B33" t="s">
        <v>1761</v>
      </c>
      <c r="C33" t="s">
        <v>1758</v>
      </c>
      <c r="D33" t="s">
        <v>1760</v>
      </c>
      <c r="E33" t="s">
        <v>1759</v>
      </c>
      <c r="F33" t="s">
        <v>2194</v>
      </c>
      <c r="G33" s="3" t="str">
        <f t="shared" ca="1" si="0"/>
        <v>Konsolidovan izvještaj:</v>
      </c>
      <c r="H33" s="3" t="str">
        <f>SUBSTITUTE(A33&amp;"_"&amp;B33," ","_")</f>
        <v>Konsolidovani_Konsolidavani_Izvjestaj</v>
      </c>
      <c r="I33" s="3">
        <f t="shared" si="1"/>
        <v>1</v>
      </c>
    </row>
    <row r="34" spans="1:9">
      <c r="A34" t="s">
        <v>1692</v>
      </c>
      <c r="B34" t="s">
        <v>1692</v>
      </c>
      <c r="C34" t="s">
        <v>1755</v>
      </c>
      <c r="D34" t="s">
        <v>1757</v>
      </c>
      <c r="E34" t="s">
        <v>1756</v>
      </c>
      <c r="F34" t="s">
        <v>2195</v>
      </c>
      <c r="G34" s="3" t="str">
        <f t="shared" ca="1" si="0"/>
        <v>Preduzeće konsolidacije</v>
      </c>
      <c r="H34" s="3" t="str">
        <f>SUBSTITUTE(A34&amp;"_"&amp;B34," ","_")</f>
        <v>Konsolidovani_Konsolidovani</v>
      </c>
      <c r="I34" s="3">
        <f t="shared" si="1"/>
        <v>1</v>
      </c>
    </row>
    <row r="35" spans="1:9">
      <c r="A35" t="s">
        <v>2330</v>
      </c>
      <c r="B35" t="s">
        <v>1467</v>
      </c>
      <c r="C35" t="s">
        <v>2083</v>
      </c>
      <c r="D35" t="s">
        <v>1518</v>
      </c>
      <c r="E35" t="s">
        <v>1458</v>
      </c>
      <c r="F35" t="s">
        <v>2196</v>
      </c>
      <c r="G35" t="str">
        <f t="shared" ref="G35:G66" ca="1" si="4">CHOOSE( ID_Jezik, C35, D35, E35,F35)</f>
        <v>U:</v>
      </c>
      <c r="H35" t="str">
        <f t="shared" si="2"/>
        <v>Podnozje_U</v>
      </c>
      <c r="I35">
        <f t="shared" ref="I35:I66" si="5">COUNTIF($B$2:$B$1028,"="&amp;B35)</f>
        <v>1</v>
      </c>
    </row>
    <row r="36" spans="1:9">
      <c r="A36" t="s">
        <v>2330</v>
      </c>
      <c r="B36" t="s">
        <v>1468</v>
      </c>
      <c r="C36" t="s">
        <v>2799</v>
      </c>
      <c r="D36" t="s">
        <v>2798</v>
      </c>
      <c r="E36" t="s">
        <v>2084</v>
      </c>
      <c r="F36" t="s">
        <v>2197</v>
      </c>
      <c r="G36" t="str">
        <f t="shared" ca="1" si="4"/>
        <v>Dana:</v>
      </c>
      <c r="H36" t="str">
        <f t="shared" si="2"/>
        <v>Podnozje_Dana</v>
      </c>
      <c r="I36">
        <f t="shared" si="5"/>
        <v>1</v>
      </c>
    </row>
    <row r="37" spans="1:9">
      <c r="A37" t="s">
        <v>2330</v>
      </c>
      <c r="B37" t="s">
        <v>1534</v>
      </c>
      <c r="C37" t="s">
        <v>1515</v>
      </c>
      <c r="D37" t="s">
        <v>1519</v>
      </c>
      <c r="E37" t="s">
        <v>1737</v>
      </c>
      <c r="F37" t="s">
        <v>2198</v>
      </c>
      <c r="G37" t="str">
        <f t="shared" ca="1" si="4"/>
        <v>Lice sa licencom:</v>
      </c>
      <c r="H37" t="str">
        <f t="shared" si="2"/>
        <v>Podnozje_Lice_sa_licencom</v>
      </c>
      <c r="I37">
        <f t="shared" si="5"/>
        <v>1</v>
      </c>
    </row>
    <row r="38" spans="1:9">
      <c r="A38" t="s">
        <v>2330</v>
      </c>
      <c r="B38" t="s">
        <v>1735</v>
      </c>
      <c r="C38" t="s">
        <v>1701</v>
      </c>
      <c r="D38" t="s">
        <v>1736</v>
      </c>
      <c r="E38" t="s">
        <v>2085</v>
      </c>
      <c r="F38" t="s">
        <v>2199</v>
      </c>
      <c r="G38" s="3" t="str">
        <f t="shared" ca="1" si="4"/>
        <v>Broj licence:</v>
      </c>
      <c r="H38" s="3" t="str">
        <f>SUBSTITUTE(A38&amp;"_"&amp;B38," ","_")</f>
        <v>Podnozje_Broj_licence</v>
      </c>
      <c r="I38" s="3">
        <f t="shared" si="5"/>
        <v>1</v>
      </c>
    </row>
    <row r="39" spans="1:9">
      <c r="A39" t="s">
        <v>2330</v>
      </c>
      <c r="B39" t="s">
        <v>1469</v>
      </c>
      <c r="C39" t="s">
        <v>2082</v>
      </c>
      <c r="D39" t="s">
        <v>2081</v>
      </c>
      <c r="E39" t="s">
        <v>1705</v>
      </c>
      <c r="F39" t="s">
        <v>2200</v>
      </c>
      <c r="G39" t="str">
        <f t="shared" ca="1" si="4"/>
        <v>Lice ovlašćeno za zastupanje:</v>
      </c>
      <c r="H39" t="str">
        <f t="shared" si="2"/>
        <v>Podnozje_Direktor</v>
      </c>
      <c r="I39">
        <f t="shared" si="5"/>
        <v>1</v>
      </c>
    </row>
    <row r="40" spans="1:9">
      <c r="A40" t="s">
        <v>2330</v>
      </c>
      <c r="B40" t="s">
        <v>1535</v>
      </c>
      <c r="C40" t="s">
        <v>1516</v>
      </c>
      <c r="D40" t="s">
        <v>1520</v>
      </c>
      <c r="E40" t="s">
        <v>2323</v>
      </c>
      <c r="F40" t="s">
        <v>1520</v>
      </c>
      <c r="G40" t="str">
        <f t="shared" ca="1" si="4"/>
        <v>(M.P.)</v>
      </c>
      <c r="H40" t="str">
        <f t="shared" si="2"/>
        <v>Podnozje_MP</v>
      </c>
      <c r="I40">
        <f t="shared" si="5"/>
        <v>1</v>
      </c>
    </row>
    <row r="41" spans="1:9">
      <c r="A41" t="s">
        <v>1514</v>
      </c>
      <c r="B41" t="s">
        <v>2109</v>
      </c>
      <c r="C41" t="s">
        <v>2110</v>
      </c>
      <c r="D41" t="s">
        <v>2111</v>
      </c>
      <c r="E41" t="s">
        <v>2112</v>
      </c>
      <c r="F41" t="s">
        <v>2201</v>
      </c>
      <c r="G41" s="3" t="str">
        <f t="shared" ca="1" si="4"/>
        <v xml:space="preserve">Konsolidovani </v>
      </c>
      <c r="H41" t="str">
        <f t="shared" si="2"/>
        <v>Nazivi_bilansa_Konsolidovani_naziv</v>
      </c>
      <c r="I41">
        <f t="shared" si="5"/>
        <v>1</v>
      </c>
    </row>
    <row r="42" spans="1:9">
      <c r="A42" t="s">
        <v>1514</v>
      </c>
      <c r="B42" t="s">
        <v>1536</v>
      </c>
      <c r="C42" t="s">
        <v>1420</v>
      </c>
      <c r="D42" t="s">
        <v>1521</v>
      </c>
      <c r="E42" t="s">
        <v>1418</v>
      </c>
      <c r="F42" t="s">
        <v>2202</v>
      </c>
      <c r="G42" t="str">
        <f t="shared" ca="1" si="4"/>
        <v>Bilans stanja</v>
      </c>
      <c r="H42" t="str">
        <f t="shared" si="2"/>
        <v>Nazivi_bilansa_BS</v>
      </c>
      <c r="I42">
        <f t="shared" si="5"/>
        <v>1</v>
      </c>
    </row>
    <row r="43" spans="1:9">
      <c r="A43" t="s">
        <v>1514</v>
      </c>
      <c r="B43" t="s">
        <v>2272</v>
      </c>
      <c r="C43" t="s">
        <v>2278</v>
      </c>
      <c r="D43" t="s">
        <v>2308</v>
      </c>
      <c r="E43" t="s">
        <v>2324</v>
      </c>
      <c r="F43" t="s">
        <v>2203</v>
      </c>
      <c r="G43" s="3" t="str">
        <f t="shared" ca="1" si="4"/>
        <v>(Izvještaj o finansijskom položaju)</v>
      </c>
      <c r="H43" s="3" t="str">
        <f t="shared" si="2"/>
        <v>Nazivi_bilansa_BS1</v>
      </c>
      <c r="I43" s="3">
        <f t="shared" si="5"/>
        <v>1</v>
      </c>
    </row>
    <row r="44" spans="1:9">
      <c r="A44" t="s">
        <v>1514</v>
      </c>
      <c r="B44" t="s">
        <v>2377</v>
      </c>
      <c r="C44" t="s">
        <v>1421</v>
      </c>
      <c r="D44" t="s">
        <v>1522</v>
      </c>
      <c r="E44" t="s">
        <v>1419</v>
      </c>
      <c r="F44" t="s">
        <v>2204</v>
      </c>
      <c r="G44" t="str">
        <f t="shared" ca="1" si="4"/>
        <v>Bilans uspjeha</v>
      </c>
      <c r="H44" t="str">
        <f t="shared" si="2"/>
        <v>Nazivi_bilansa_BUa</v>
      </c>
      <c r="I44">
        <f t="shared" si="5"/>
        <v>1</v>
      </c>
    </row>
    <row r="45" spans="1:9">
      <c r="A45" t="s">
        <v>1514</v>
      </c>
      <c r="B45" t="s">
        <v>2385</v>
      </c>
      <c r="C45" t="s">
        <v>2276</v>
      </c>
      <c r="D45" t="s">
        <v>2309</v>
      </c>
      <c r="E45" t="s">
        <v>2431</v>
      </c>
      <c r="F45" t="s">
        <v>2205</v>
      </c>
      <c r="G45" s="3" t="str">
        <f t="shared" ca="1" si="4"/>
        <v>(Izvještaj o ukupnom rezultatu u periodu)</v>
      </c>
      <c r="H45" s="3" t="str">
        <f t="shared" si="2"/>
        <v>Nazivi_bilansa_BUa1</v>
      </c>
      <c r="I45" s="3">
        <f t="shared" si="5"/>
        <v>1</v>
      </c>
    </row>
    <row r="46" spans="1:9">
      <c r="A46" t="s">
        <v>1514</v>
      </c>
      <c r="B46" t="s">
        <v>2386</v>
      </c>
      <c r="C46" t="s">
        <v>2388</v>
      </c>
      <c r="D46" t="s">
        <v>2397</v>
      </c>
      <c r="E46" t="s">
        <v>2432</v>
      </c>
      <c r="F46" t="s">
        <v>2206</v>
      </c>
      <c r="G46" s="3" t="str">
        <f t="shared" ca="1" si="4"/>
        <v>Izvještaj</v>
      </c>
      <c r="H46" s="3" t="str">
        <f>SUBSTITUTE(A46&amp;"_"&amp;B46," ","_")</f>
        <v>Nazivi_bilansa_BUb</v>
      </c>
      <c r="I46" s="3">
        <f t="shared" si="5"/>
        <v>1</v>
      </c>
    </row>
    <row r="47" spans="1:9">
      <c r="A47" t="s">
        <v>1514</v>
      </c>
      <c r="B47" t="s">
        <v>2387</v>
      </c>
      <c r="C47" t="s">
        <v>26</v>
      </c>
      <c r="D47" t="s">
        <v>27</v>
      </c>
      <c r="E47" t="s">
        <v>2464</v>
      </c>
      <c r="F47" t="s">
        <v>2207</v>
      </c>
      <c r="G47" s="3" t="str">
        <f t="shared" ca="1" si="4"/>
        <v>o ostalom rezultatu u periodu</v>
      </c>
      <c r="H47" s="3" t="str">
        <f>SUBSTITUTE(A47&amp;"_"&amp;B47," ","_")</f>
        <v>Nazivi_bilansa_BUb1</v>
      </c>
      <c r="I47" s="3">
        <f t="shared" si="5"/>
        <v>1</v>
      </c>
    </row>
    <row r="48" spans="1:9">
      <c r="A48" t="s">
        <v>1514</v>
      </c>
      <c r="B48" t="s">
        <v>1537</v>
      </c>
      <c r="C48" t="s">
        <v>1422</v>
      </c>
      <c r="D48" t="s">
        <v>1523</v>
      </c>
      <c r="E48" t="s">
        <v>1428</v>
      </c>
      <c r="F48" t="s">
        <v>2208</v>
      </c>
      <c r="G48" t="str">
        <f t="shared" ca="1" si="4"/>
        <v>Bilans tokova gotovine</v>
      </c>
      <c r="H48" t="str">
        <f t="shared" si="2"/>
        <v>Nazivi_bilansa_BTG</v>
      </c>
      <c r="I48">
        <f t="shared" si="5"/>
        <v>1</v>
      </c>
    </row>
    <row r="49" spans="1:9">
      <c r="A49" t="s">
        <v>1514</v>
      </c>
      <c r="B49" t="s">
        <v>2275</v>
      </c>
      <c r="C49" t="s">
        <v>2277</v>
      </c>
      <c r="D49" t="s">
        <v>2310</v>
      </c>
      <c r="E49" t="s">
        <v>2433</v>
      </c>
      <c r="F49" t="s">
        <v>2209</v>
      </c>
      <c r="G49" s="3" t="str">
        <f t="shared" ca="1" si="4"/>
        <v>(Izvještaj o tokovima gotovine)</v>
      </c>
      <c r="H49" s="3" t="str">
        <f t="shared" ref="H49:H80" si="6">SUBSTITUTE(A49&amp;"_"&amp;B49," ","_")</f>
        <v>Nazivi_bilansa_BTG1</v>
      </c>
      <c r="I49" s="3">
        <f t="shared" si="5"/>
        <v>1</v>
      </c>
    </row>
    <row r="50" spans="1:9">
      <c r="A50" t="s">
        <v>1514</v>
      </c>
      <c r="B50" t="s">
        <v>1538</v>
      </c>
      <c r="C50" t="s">
        <v>1538</v>
      </c>
      <c r="D50" t="s">
        <v>2311</v>
      </c>
      <c r="E50" t="s">
        <v>2292</v>
      </c>
      <c r="F50" t="s">
        <v>2210</v>
      </c>
      <c r="G50" t="str">
        <f t="shared" ca="1" si="4"/>
        <v>Aneks</v>
      </c>
      <c r="H50" t="str">
        <f t="shared" si="6"/>
        <v>Nazivi_bilansa_Aneks</v>
      </c>
      <c r="I50">
        <f t="shared" si="5"/>
        <v>1</v>
      </c>
    </row>
    <row r="51" spans="1:9">
      <c r="A51" t="s">
        <v>1514</v>
      </c>
      <c r="B51" t="s">
        <v>2274</v>
      </c>
      <c r="C51" t="s">
        <v>2273</v>
      </c>
      <c r="D51" t="s">
        <v>2280</v>
      </c>
      <c r="E51" t="s">
        <v>2279</v>
      </c>
      <c r="F51" t="s">
        <v>2211</v>
      </c>
      <c r="G51" s="3" t="str">
        <f t="shared" ca="1" si="4"/>
        <v>(Dodatni računovodstveni izvještaj)</v>
      </c>
      <c r="H51" s="3" t="str">
        <f t="shared" si="6"/>
        <v>Nazivi_bilansa_Aneks1</v>
      </c>
      <c r="I51" s="3">
        <f t="shared" si="5"/>
        <v>1</v>
      </c>
    </row>
    <row r="52" spans="1:9">
      <c r="A52" t="s">
        <v>1514</v>
      </c>
      <c r="B52" t="s">
        <v>1539</v>
      </c>
      <c r="C52" t="s">
        <v>235</v>
      </c>
      <c r="D52" t="s">
        <v>28</v>
      </c>
      <c r="E52" t="s">
        <v>1432</v>
      </c>
      <c r="F52" t="s">
        <v>2212</v>
      </c>
      <c r="G52" t="str">
        <f t="shared" ca="1" si="4"/>
        <v>IZVJEŠTAJ O PROMJENAMA NA KAPITALU</v>
      </c>
      <c r="H52" t="str">
        <f t="shared" si="6"/>
        <v>Nazivi_bilansa_BPK</v>
      </c>
      <c r="I52">
        <f t="shared" si="5"/>
        <v>1</v>
      </c>
    </row>
    <row r="53" spans="1:9">
      <c r="A53" t="s">
        <v>2382</v>
      </c>
      <c r="B53" t="s">
        <v>1551</v>
      </c>
      <c r="C53" s="55" t="str">
        <f ca="1">CONCATENATE("na dan ",Datum_Format," godine")</f>
        <v>na dan 30.06.2022. godine</v>
      </c>
      <c r="D53" s="55" t="str">
        <f ca="1">CONCATENATE("нa дaн ",Datum_Format," гoдинe")</f>
        <v>нa дaн 30.06.2022. гoдинe</v>
      </c>
      <c r="E53" s="55" t="str">
        <f ca="1">CONCATENATE("date ",Datum_Format)</f>
        <v>date 30.06.2022.</v>
      </c>
      <c r="F53" s="55" t="str">
        <f ca="1">CONCATENATE("на дату ",Datum_Format," года")</f>
        <v>на дату 30.06.2022. года</v>
      </c>
      <c r="G53" s="3" t="str">
        <f t="shared" ca="1" si="4"/>
        <v>na dan 30.06.2022. godine</v>
      </c>
      <c r="H53" s="3" t="str">
        <f t="shared" si="6"/>
        <v>Datumi_Datum_BS</v>
      </c>
      <c r="I53" s="3">
        <f t="shared" si="5"/>
        <v>1</v>
      </c>
    </row>
    <row r="54" spans="1:9">
      <c r="A54" t="s">
        <v>2382</v>
      </c>
      <c r="B54" t="s">
        <v>1552</v>
      </c>
      <c r="C54" s="55" t="str">
        <f ca="1">CONCATENATE("za period od 01.01. do ",Datum_Format," godine")</f>
        <v>za period od 01.01. do 30.06.2022. godine</v>
      </c>
      <c r="D54" s="55" t="str">
        <f ca="1">CONCATENATE("зa пeриoд oд 01.01. дo ",Datum_Format," гoдинe")</f>
        <v>зa пeриoд oд 01.01. дo 30.06.2022. гoдинe</v>
      </c>
      <c r="E54" s="55" t="str">
        <f ca="1">CONCATENATE("from 01.01. to ",Datum_Format)</f>
        <v>from 01.01. to 30.06.2022.</v>
      </c>
      <c r="F54" s="55" t="str">
        <f ca="1">CONCATENATE("за период с 01.01. to ",Datum_Format," года")</f>
        <v>за период с 01.01. to 30.06.2022. года</v>
      </c>
      <c r="G54" s="3" t="str">
        <f t="shared" ca="1" si="4"/>
        <v>za period od 01.01. do 30.06.2022. godine</v>
      </c>
      <c r="H54" s="3" t="str">
        <f t="shared" si="6"/>
        <v>Datumi_Datum_BU</v>
      </c>
      <c r="I54" s="3">
        <f t="shared" si="5"/>
        <v>1</v>
      </c>
    </row>
    <row r="55" spans="1:9">
      <c r="A55" t="s">
        <v>2382</v>
      </c>
      <c r="B55" t="s">
        <v>2271</v>
      </c>
      <c r="C55" s="55" t="str">
        <f ca="1">CONCATENATE("za period od 01.01. do ",Datum_Format," godine")</f>
        <v>za period od 01.01. do 30.06.2022. godine</v>
      </c>
      <c r="D55" s="55" t="str">
        <f ca="1">CONCATENATE("зa пeриoд oд 01.01. дo ",Datum_Format," гoдинe")</f>
        <v>зa пeриoд oд 01.01. дo 30.06.2022. гoдинe</v>
      </c>
      <c r="E55" s="55" t="str">
        <f ca="1">CONCATENATE("from 01.01. to ",Datum_Format)</f>
        <v>from 01.01. to 30.06.2022.</v>
      </c>
      <c r="F55" s="55" t="str">
        <f ca="1">CONCATENATE("за период с 01.01. to ",Datum_Format," года")</f>
        <v>за период с 01.01. to 30.06.2022. года</v>
      </c>
      <c r="G55" s="3" t="str">
        <f t="shared" ca="1" si="4"/>
        <v>za period od 01.01. do 30.06.2022. godine</v>
      </c>
      <c r="H55" s="3" t="str">
        <f t="shared" si="6"/>
        <v>Datumi_Datum_BTG</v>
      </c>
      <c r="I55" s="3">
        <f t="shared" si="5"/>
        <v>1</v>
      </c>
    </row>
    <row r="56" spans="1:9">
      <c r="A56" t="s">
        <v>2382</v>
      </c>
      <c r="B56" t="s">
        <v>2281</v>
      </c>
      <c r="C56" s="55" t="str">
        <f ca="1">CONCATENATE("od 01.01. do ",Datum_Format," godine")</f>
        <v>od 01.01. do 30.06.2022. godine</v>
      </c>
      <c r="D56" s="55" t="str">
        <f ca="1">CONCATENATE("oд 01.01. дo ",Datum_Format," гoдинe")</f>
        <v>oд 01.01. дo 30.06.2022. гoдинe</v>
      </c>
      <c r="E56" s="55" t="str">
        <f ca="1">CONCATENATE("from 01.01. to ",Datum_Format)</f>
        <v>from 01.01. to 30.06.2022.</v>
      </c>
      <c r="F56" s="55" t="str">
        <f ca="1">CONCATENATE("с 01.01. to ",Datum_Format," года")</f>
        <v>с 01.01. to 30.06.2022. года</v>
      </c>
      <c r="G56" s="3" t="str">
        <f t="shared" ca="1" si="4"/>
        <v>od 01.01. do 30.06.2022. godine</v>
      </c>
      <c r="H56" s="3" t="str">
        <f t="shared" si="6"/>
        <v>Datumi_Datum_ODGP</v>
      </c>
      <c r="I56" s="3">
        <f t="shared" si="5"/>
        <v>1</v>
      </c>
    </row>
    <row r="57" spans="1:9">
      <c r="A57" t="s">
        <v>2382</v>
      </c>
      <c r="B57" t="s">
        <v>2282</v>
      </c>
      <c r="C57" s="55" t="str">
        <f ca="1">CONCATENATE("za period od 01.01. do ",Datum_Format," godine")</f>
        <v>za period od 01.01. do 30.06.2022. godine</v>
      </c>
      <c r="D57" s="55" t="str">
        <f ca="1">CONCATENATE("зa пeриoд oд 01.01. дo ",Datum_Format," гoдинe")</f>
        <v>зa пeриoд oд 01.01. дo 30.06.2022. гoдинe</v>
      </c>
      <c r="E57" s="55" t="str">
        <f ca="1">CONCATENATE("from 01.01. to ",Datum_Format)</f>
        <v>from 01.01. to 30.06.2022.</v>
      </c>
      <c r="F57" s="55" t="str">
        <f ca="1">CONCATENATE("за период с 01.01. to ",Datum_Format," года")</f>
        <v>за период с 01.01. to 30.06.2022. года</v>
      </c>
      <c r="G57" s="3" t="str">
        <f t="shared" ca="1" si="4"/>
        <v>za period od 01.01. do 30.06.2022. godine</v>
      </c>
      <c r="H57" s="3" t="str">
        <f t="shared" si="6"/>
        <v>Datumi_Datum_Aneks</v>
      </c>
      <c r="I57" s="3">
        <f t="shared" si="5"/>
        <v>1</v>
      </c>
    </row>
    <row r="58" spans="1:9">
      <c r="A58" t="s">
        <v>2382</v>
      </c>
      <c r="B58" t="s">
        <v>2295</v>
      </c>
      <c r="C58" s="55" t="str">
        <f ca="1">CONCATENATE("za period koji se završava na dan ",Datum_Format," godine")</f>
        <v>za period koji se završava na dan 30.06.2022. godine</v>
      </c>
      <c r="D58" s="55" t="str">
        <f ca="1">CONCATENATE("зa пeриoд кojи сe зaвршaвa нa дaн ",Datum_Format," гoдинe")</f>
        <v>зa пeриoд кojи сe зaвршaвa нa дaн 30.06.2022. гoдинe</v>
      </c>
      <c r="E58" s="55" t="str">
        <f ca="1">CONCATENATE("for period ending ",Datum_Format)</f>
        <v>for period ending 30.06.2022.</v>
      </c>
      <c r="F58" s="55" t="str">
        <f ca="1">CONCATENATE("за период, закончившийся на дату ",Datum_Format," года")</f>
        <v>за период, закончившийся на дату 30.06.2022. года</v>
      </c>
      <c r="G58" s="3" t="str">
        <f t="shared" ca="1" si="4"/>
        <v>za period koji se završava na dan 30.06.2022. godine</v>
      </c>
      <c r="H58" s="3" t="str">
        <f t="shared" si="6"/>
        <v>Datumi_Datum_BPK</v>
      </c>
      <c r="I58" s="3">
        <f t="shared" si="5"/>
        <v>1</v>
      </c>
    </row>
    <row r="59" spans="1:9">
      <c r="A59" t="s">
        <v>2283</v>
      </c>
      <c r="B59" t="s">
        <v>2289</v>
      </c>
      <c r="C59" t="s">
        <v>2293</v>
      </c>
      <c r="D59" t="s">
        <v>2312</v>
      </c>
      <c r="E59" t="s">
        <v>2325</v>
      </c>
      <c r="F59" t="s">
        <v>2213</v>
      </c>
      <c r="G59" s="3" t="str">
        <f t="shared" ca="1" si="4"/>
        <v>Uputstvo za popunjavanje</v>
      </c>
      <c r="H59" s="3" t="str">
        <f t="shared" si="6"/>
        <v>Linkovi_Link_Uputstvo</v>
      </c>
      <c r="I59" s="3">
        <f t="shared" si="5"/>
        <v>1</v>
      </c>
    </row>
    <row r="60" spans="1:9">
      <c r="A60" t="s">
        <v>2283</v>
      </c>
      <c r="B60" t="s">
        <v>2290</v>
      </c>
      <c r="C60" t="s">
        <v>2294</v>
      </c>
      <c r="D60" t="s">
        <v>2313</v>
      </c>
      <c r="E60" t="s">
        <v>2326</v>
      </c>
      <c r="F60" t="s">
        <v>2214</v>
      </c>
      <c r="G60" s="3" t="str">
        <f t="shared" ca="1" si="4"/>
        <v>Osnovni podaci</v>
      </c>
      <c r="H60" s="3" t="str">
        <f t="shared" si="6"/>
        <v>Linkovi_Link_Osnovni_podaci</v>
      </c>
      <c r="I60" s="3">
        <f t="shared" si="5"/>
        <v>1</v>
      </c>
    </row>
    <row r="61" spans="1:9">
      <c r="A61" t="s">
        <v>2283</v>
      </c>
      <c r="B61" t="s">
        <v>2284</v>
      </c>
      <c r="C61" t="s">
        <v>2437</v>
      </c>
      <c r="D61" t="s">
        <v>2443</v>
      </c>
      <c r="E61" t="s">
        <v>2449</v>
      </c>
      <c r="F61" t="s">
        <v>2215</v>
      </c>
      <c r="G61" s="3" t="str">
        <f t="shared" ca="1" si="4"/>
        <v>01) Bilans stanja</v>
      </c>
      <c r="H61" s="3" t="str">
        <f t="shared" si="6"/>
        <v>Linkovi_Link_BS</v>
      </c>
      <c r="I61" s="3">
        <f t="shared" si="5"/>
        <v>1</v>
      </c>
    </row>
    <row r="62" spans="1:9">
      <c r="A62" t="s">
        <v>2283</v>
      </c>
      <c r="B62" t="s">
        <v>2285</v>
      </c>
      <c r="C62" t="s">
        <v>2438</v>
      </c>
      <c r="D62" t="s">
        <v>2444</v>
      </c>
      <c r="E62" t="s">
        <v>2450</v>
      </c>
      <c r="F62" t="s">
        <v>2216</v>
      </c>
      <c r="G62" s="3" t="str">
        <f t="shared" ca="1" si="4"/>
        <v>02a) Bilans uspjeha</v>
      </c>
      <c r="H62" s="3" t="str">
        <f t="shared" si="6"/>
        <v>Linkovi_Link_BU</v>
      </c>
      <c r="I62" s="3">
        <f t="shared" si="5"/>
        <v>1</v>
      </c>
    </row>
    <row r="63" spans="1:9">
      <c r="A63" t="s">
        <v>2283</v>
      </c>
      <c r="B63" t="s">
        <v>2287</v>
      </c>
      <c r="C63" t="s">
        <v>2439</v>
      </c>
      <c r="D63" t="s">
        <v>2445</v>
      </c>
      <c r="E63" t="s">
        <v>2465</v>
      </c>
      <c r="F63" t="s">
        <v>2217</v>
      </c>
      <c r="G63" s="3" t="str">
        <f t="shared" ca="1" si="4"/>
        <v>02b) Izvještaj o ostalim dobicima i gubicima u periodu</v>
      </c>
      <c r="H63" s="3" t="str">
        <f t="shared" si="6"/>
        <v>Linkovi_Link_ODGP</v>
      </c>
      <c r="I63" s="3">
        <f t="shared" si="5"/>
        <v>1</v>
      </c>
    </row>
    <row r="64" spans="1:9">
      <c r="A64" t="s">
        <v>2283</v>
      </c>
      <c r="B64" t="s">
        <v>2286</v>
      </c>
      <c r="C64" t="s">
        <v>2440</v>
      </c>
      <c r="D64" t="s">
        <v>2446</v>
      </c>
      <c r="E64" t="s">
        <v>2451</v>
      </c>
      <c r="F64" t="s">
        <v>2218</v>
      </c>
      <c r="G64" s="3" t="str">
        <f t="shared" ca="1" si="4"/>
        <v>03) Bilans tokova gotovine</v>
      </c>
      <c r="H64" s="3" t="str">
        <f t="shared" si="6"/>
        <v>Linkovi_Link_BTG</v>
      </c>
      <c r="I64" s="3">
        <f t="shared" si="5"/>
        <v>1</v>
      </c>
    </row>
    <row r="65" spans="1:9">
      <c r="A65" t="s">
        <v>2283</v>
      </c>
      <c r="B65" t="s">
        <v>2291</v>
      </c>
      <c r="C65" t="s">
        <v>2441</v>
      </c>
      <c r="D65" t="s">
        <v>2447</v>
      </c>
      <c r="E65" t="s">
        <v>2452</v>
      </c>
      <c r="F65" t="s">
        <v>2219</v>
      </c>
      <c r="G65" s="3" t="str">
        <f t="shared" ca="1" si="4"/>
        <v>04) Aneks</v>
      </c>
      <c r="H65" s="3" t="str">
        <f t="shared" si="6"/>
        <v>Linkovi_Link_Aneks</v>
      </c>
      <c r="I65" s="3">
        <f t="shared" si="5"/>
        <v>1</v>
      </c>
    </row>
    <row r="66" spans="1:9">
      <c r="A66" t="s">
        <v>2283</v>
      </c>
      <c r="B66" t="s">
        <v>2288</v>
      </c>
      <c r="C66" t="s">
        <v>2442</v>
      </c>
      <c r="D66" t="s">
        <v>2448</v>
      </c>
      <c r="E66" t="s">
        <v>2453</v>
      </c>
      <c r="F66" t="s">
        <v>2220</v>
      </c>
      <c r="G66" s="3" t="str">
        <f t="shared" ca="1" si="4"/>
        <v>05) Izvještaj o promjenama u kapitalu</v>
      </c>
      <c r="H66" s="3" t="str">
        <f t="shared" si="6"/>
        <v>Linkovi_Link_BPK</v>
      </c>
      <c r="I66" s="3">
        <f t="shared" si="5"/>
        <v>1</v>
      </c>
    </row>
    <row r="67" spans="1:9">
      <c r="A67" t="s">
        <v>2384</v>
      </c>
      <c r="B67" t="s">
        <v>1541</v>
      </c>
      <c r="C67" t="s">
        <v>1472</v>
      </c>
      <c r="D67" t="s">
        <v>2314</v>
      </c>
      <c r="E67" t="s">
        <v>1423</v>
      </c>
      <c r="F67" t="s">
        <v>2221</v>
      </c>
      <c r="G67" s="3" t="str">
        <f t="shared" ref="G67:G98" ca="1" si="7">CHOOSE( ID_Jezik, C67, D67, E67,F67)</f>
        <v>Grupa računa, račun</v>
      </c>
      <c r="H67" s="3" t="str">
        <f t="shared" si="6"/>
        <v>Tabele_zaglavlje_Grupa_racuna</v>
      </c>
      <c r="I67">
        <f t="shared" ref="I67:I102" si="8">COUNTIF($B$2:$B$1028,"="&amp;B67)</f>
        <v>1</v>
      </c>
    </row>
    <row r="68" spans="1:9">
      <c r="A68" t="s">
        <v>2384</v>
      </c>
      <c r="B68" t="s">
        <v>1542</v>
      </c>
      <c r="C68" t="s">
        <v>2078</v>
      </c>
      <c r="D68" t="s">
        <v>2079</v>
      </c>
      <c r="E68" t="s">
        <v>2080</v>
      </c>
      <c r="F68" t="s">
        <v>2222</v>
      </c>
      <c r="G68" s="3" t="str">
        <f t="shared" ca="1" si="7"/>
        <v>POZICIJA</v>
      </c>
      <c r="H68" s="3" t="str">
        <f t="shared" si="6"/>
        <v>Tabele_zaglavlje_Pozicija</v>
      </c>
      <c r="I68">
        <f t="shared" si="8"/>
        <v>1</v>
      </c>
    </row>
    <row r="69" spans="1:9">
      <c r="A69" t="s">
        <v>2384</v>
      </c>
      <c r="B69" t="s">
        <v>2511</v>
      </c>
      <c r="C69" t="s">
        <v>2511</v>
      </c>
      <c r="D69" t="s">
        <v>2512</v>
      </c>
      <c r="E69" t="s">
        <v>2513</v>
      </c>
      <c r="F69" t="s">
        <v>2251</v>
      </c>
      <c r="G69" s="3" t="str">
        <f ca="1">CHOOSE( ID_Jezik, C69, D69, E69,F69)</f>
        <v>Napomena</v>
      </c>
      <c r="H69" s="3" t="str">
        <f>SUBSTITUTE(A69&amp;"_"&amp;B69," ","_")</f>
        <v>Tabele_zaglavlje_Napomena</v>
      </c>
      <c r="I69">
        <f t="shared" si="8"/>
        <v>1</v>
      </c>
    </row>
    <row r="70" spans="1:9">
      <c r="A70" t="s">
        <v>2384</v>
      </c>
      <c r="B70" t="s">
        <v>1543</v>
      </c>
      <c r="C70" t="s">
        <v>1460</v>
      </c>
      <c r="D70" t="s">
        <v>2315</v>
      </c>
      <c r="E70" t="s">
        <v>1478</v>
      </c>
      <c r="F70" t="s">
        <v>2252</v>
      </c>
      <c r="G70" s="3" t="str">
        <f t="shared" ca="1" si="7"/>
        <v>Oznaka za AOP</v>
      </c>
      <c r="H70" s="3" t="str">
        <f t="shared" si="6"/>
        <v>Tabele_zaglavlje_Oznaka_aop</v>
      </c>
      <c r="I70">
        <f t="shared" si="8"/>
        <v>1</v>
      </c>
    </row>
    <row r="71" spans="1:9">
      <c r="A71" t="s">
        <v>2384</v>
      </c>
      <c r="B71" t="s">
        <v>2391</v>
      </c>
      <c r="C71" t="s">
        <v>2392</v>
      </c>
      <c r="D71" t="s">
        <v>2398</v>
      </c>
      <c r="E71" t="s">
        <v>2393</v>
      </c>
      <c r="F71" t="s">
        <v>2223</v>
      </c>
      <c r="G71" s="3" t="str">
        <f t="shared" ca="1" si="7"/>
        <v>Redni broj</v>
      </c>
      <c r="H71" s="3" t="str">
        <f>SUBSTITUTE(A71&amp;"_"&amp;B71," ","_")</f>
        <v>Tabele_zaglavlje_Redni_broj</v>
      </c>
      <c r="I71" s="3">
        <f t="shared" si="8"/>
        <v>1</v>
      </c>
    </row>
    <row r="72" spans="1:9">
      <c r="A72" t="s">
        <v>2384</v>
      </c>
      <c r="B72" t="s">
        <v>1546</v>
      </c>
      <c r="C72" t="s">
        <v>1483</v>
      </c>
      <c r="D72" t="s">
        <v>2316</v>
      </c>
      <c r="E72" t="s">
        <v>1479</v>
      </c>
      <c r="F72" t="s">
        <v>2224</v>
      </c>
      <c r="G72" s="3" t="str">
        <f t="shared" ca="1" si="7"/>
        <v>Iznos na dan bilansa tekuće godine</v>
      </c>
      <c r="H72" s="3" t="str">
        <f t="shared" si="6"/>
        <v>Tabele_zaglavlje_BS_iznos_tekuca</v>
      </c>
      <c r="I72">
        <f t="shared" si="8"/>
        <v>1</v>
      </c>
    </row>
    <row r="73" spans="1:9">
      <c r="A73" t="s">
        <v>2384</v>
      </c>
      <c r="B73" t="s">
        <v>2380</v>
      </c>
      <c r="C73" t="s">
        <v>1473</v>
      </c>
      <c r="D73" t="s">
        <v>2317</v>
      </c>
      <c r="E73" t="s">
        <v>1481</v>
      </c>
      <c r="F73" t="s">
        <v>2225</v>
      </c>
      <c r="G73" s="3" t="str">
        <f t="shared" ca="1" si="7"/>
        <v>Bruto</v>
      </c>
      <c r="H73" s="3" t="str">
        <f t="shared" si="6"/>
        <v>Tabele_zaglavlje_BS_bruto</v>
      </c>
      <c r="I73">
        <f t="shared" si="8"/>
        <v>1</v>
      </c>
    </row>
    <row r="74" spans="1:9">
      <c r="A74" t="s">
        <v>2384</v>
      </c>
      <c r="B74" t="s">
        <v>2381</v>
      </c>
      <c r="C74" t="s">
        <v>1474</v>
      </c>
      <c r="D74" t="s">
        <v>2318</v>
      </c>
      <c r="E74" t="s">
        <v>1482</v>
      </c>
      <c r="F74" t="s">
        <v>2226</v>
      </c>
      <c r="G74" s="3" t="str">
        <f t="shared" ca="1" si="7"/>
        <v>Ispravka vrijednosti</v>
      </c>
      <c r="H74" s="3" t="str">
        <f t="shared" si="6"/>
        <v>Tabele_zaglavlje_BS_ispravka</v>
      </c>
      <c r="I74">
        <f t="shared" si="8"/>
        <v>1</v>
      </c>
    </row>
    <row r="75" spans="1:9">
      <c r="A75" t="s">
        <v>2384</v>
      </c>
      <c r="B75" t="s">
        <v>1545</v>
      </c>
      <c r="C75" t="s">
        <v>11</v>
      </c>
      <c r="D75" t="s">
        <v>8</v>
      </c>
      <c r="E75" t="s">
        <v>9</v>
      </c>
      <c r="F75" t="s">
        <v>10</v>
      </c>
      <c r="G75" s="3" t="str">
        <f t="shared" ca="1" si="7"/>
        <v>Neto (5-6)</v>
      </c>
      <c r="H75" s="3" t="str">
        <f t="shared" si="6"/>
        <v>Tabele_zaglavlje_BS_neto</v>
      </c>
      <c r="I75">
        <f t="shared" si="8"/>
        <v>1</v>
      </c>
    </row>
    <row r="76" spans="1:9">
      <c r="A76" t="s">
        <v>2384</v>
      </c>
      <c r="B76" t="s">
        <v>1547</v>
      </c>
      <c r="C76" t="s">
        <v>1787</v>
      </c>
      <c r="D76" t="s">
        <v>1788</v>
      </c>
      <c r="E76" t="s">
        <v>1480</v>
      </c>
      <c r="F76" t="s">
        <v>2227</v>
      </c>
      <c r="G76" s="3" t="str">
        <f t="shared" ca="1" si="7"/>
        <v>Iznos na dan bilansa prethodne godine (PS)</v>
      </c>
      <c r="H76" s="3" t="str">
        <f t="shared" si="6"/>
        <v>Tabele_zaglavlje_BS_iznos_prethodna</v>
      </c>
      <c r="I76">
        <f t="shared" si="8"/>
        <v>1</v>
      </c>
    </row>
    <row r="77" spans="1:9">
      <c r="A77" t="s">
        <v>2384</v>
      </c>
      <c r="B77" t="s">
        <v>1464</v>
      </c>
      <c r="C77" t="s">
        <v>1464</v>
      </c>
      <c r="D77" t="s">
        <v>2319</v>
      </c>
      <c r="E77" t="s">
        <v>1454</v>
      </c>
      <c r="F77" t="s">
        <v>2228</v>
      </c>
      <c r="G77" s="3" t="str">
        <f t="shared" ca="1" si="7"/>
        <v>Iznos</v>
      </c>
      <c r="H77" s="3" t="str">
        <f t="shared" si="6"/>
        <v>Tabele_zaglavlje_Iznos</v>
      </c>
      <c r="I77" s="3">
        <f t="shared" si="8"/>
        <v>1</v>
      </c>
    </row>
    <row r="78" spans="1:9">
      <c r="A78" t="s">
        <v>2384</v>
      </c>
      <c r="B78" t="s">
        <v>1549</v>
      </c>
      <c r="C78" t="s">
        <v>1465</v>
      </c>
      <c r="D78" t="s">
        <v>2320</v>
      </c>
      <c r="E78" t="s">
        <v>1455</v>
      </c>
      <c r="F78" t="s">
        <v>2229</v>
      </c>
      <c r="G78" s="3" t="str">
        <f t="shared" ca="1" si="7"/>
        <v>Tekuća godina</v>
      </c>
      <c r="H78" s="3" t="str">
        <f t="shared" si="6"/>
        <v>Tabele_zaglavlje_Tekuca_godina</v>
      </c>
      <c r="I78">
        <f t="shared" si="8"/>
        <v>1</v>
      </c>
    </row>
    <row r="79" spans="1:9">
      <c r="A79" t="s">
        <v>2384</v>
      </c>
      <c r="B79" t="s">
        <v>1550</v>
      </c>
      <c r="C79" t="s">
        <v>1466</v>
      </c>
      <c r="D79" t="s">
        <v>2321</v>
      </c>
      <c r="E79" t="s">
        <v>1456</v>
      </c>
      <c r="F79" t="s">
        <v>2230</v>
      </c>
      <c r="G79" s="3" t="str">
        <f t="shared" ca="1" si="7"/>
        <v>Prethodna godina</v>
      </c>
      <c r="H79" s="3" t="str">
        <f t="shared" si="6"/>
        <v>Tabele_zaglavlje_Prethodna_godina</v>
      </c>
      <c r="I79">
        <f t="shared" si="8"/>
        <v>1</v>
      </c>
    </row>
    <row r="80" spans="1:9">
      <c r="A80" t="s">
        <v>2384</v>
      </c>
      <c r="B80" t="s">
        <v>1548</v>
      </c>
      <c r="C80" s="4" t="s">
        <v>1544</v>
      </c>
      <c r="D80" s="4" t="s">
        <v>2322</v>
      </c>
      <c r="E80" s="4" t="s">
        <v>2327</v>
      </c>
      <c r="F80" t="s">
        <v>2231</v>
      </c>
      <c r="G80" s="3" t="str">
        <f t="shared" ca="1" si="7"/>
        <v>- u konvertibilnim markama -</v>
      </c>
      <c r="H80" s="3" t="str">
        <f t="shared" si="6"/>
        <v>Tabele_zaglavlje_Valuta</v>
      </c>
      <c r="I80">
        <f t="shared" si="8"/>
        <v>1</v>
      </c>
    </row>
    <row r="81" spans="1:9">
      <c r="A81" t="s">
        <v>2384</v>
      </c>
      <c r="B81" t="s">
        <v>2409</v>
      </c>
      <c r="C81" t="s">
        <v>2259</v>
      </c>
      <c r="D81" s="246" t="s">
        <v>804</v>
      </c>
      <c r="E81" t="s">
        <v>2410</v>
      </c>
      <c r="F81" t="s">
        <v>2232</v>
      </c>
      <c r="G81" s="3" t="str">
        <f t="shared" ca="1" si="7"/>
        <v>KAPITAL KOJI PRIPADA VLASNICIMA MATIČNOG DRUŠTVA</v>
      </c>
      <c r="H81" s="3" t="str">
        <f>SUBSTITUTE(A81&amp;"_"&amp;B81," ","_")</f>
        <v>Tabele_zaglavlje_BPK0</v>
      </c>
      <c r="I81" s="3">
        <f t="shared" si="8"/>
        <v>1</v>
      </c>
    </row>
    <row r="82" spans="1:9">
      <c r="A82" t="s">
        <v>2384</v>
      </c>
      <c r="B82" t="s">
        <v>2400</v>
      </c>
      <c r="C82" t="s">
        <v>193</v>
      </c>
      <c r="D82" s="246" t="s">
        <v>805</v>
      </c>
      <c r="E82" t="s">
        <v>2411</v>
      </c>
      <c r="F82" t="s">
        <v>2233</v>
      </c>
      <c r="G82" s="3" t="str">
        <f t="shared" ca="1" si="7"/>
        <v>VRSTA PROMJENE NA KAPITALU</v>
      </c>
      <c r="H82" s="3" t="str">
        <f t="shared" ref="H82:H92" si="9">SUBSTITUTE(A82&amp;"_"&amp;B82," ","_")</f>
        <v>Tabele_zaglavlje_BPK1</v>
      </c>
      <c r="I82" s="3">
        <f t="shared" si="8"/>
        <v>1</v>
      </c>
    </row>
    <row r="83" spans="1:9" ht="25.5">
      <c r="A83" t="s">
        <v>2384</v>
      </c>
      <c r="B83" t="s">
        <v>2401</v>
      </c>
      <c r="C83" s="248" t="s">
        <v>194</v>
      </c>
      <c r="D83" s="248" t="s">
        <v>806</v>
      </c>
      <c r="E83" t="s">
        <v>2412</v>
      </c>
      <c r="F83" t="s">
        <v>2234</v>
      </c>
      <c r="G83" s="3" t="str">
        <f t="shared" ca="1" si="7"/>
        <v>Akcijski kapital - 
vlasnički udjeli</v>
      </c>
      <c r="H83" s="3" t="str">
        <f t="shared" si="9"/>
        <v>Tabele_zaglavlje_BPK3</v>
      </c>
      <c r="I83" s="3">
        <f t="shared" si="8"/>
        <v>1</v>
      </c>
    </row>
    <row r="84" spans="1:9">
      <c r="A84" t="s">
        <v>2384</v>
      </c>
      <c r="B84" t="s">
        <v>2402</v>
      </c>
      <c r="C84" s="246" t="s">
        <v>195</v>
      </c>
      <c r="D84" s="246" t="s">
        <v>807</v>
      </c>
      <c r="E84" s="246" t="s">
        <v>1</v>
      </c>
      <c r="F84" t="s">
        <v>2235</v>
      </c>
      <c r="G84" s="3" t="str">
        <f t="shared" ref="G84:G89" ca="1" si="10">CHOOSE( ID_Jezik, C84, D84, E84,F84)</f>
        <v>Emisiona premija</v>
      </c>
      <c r="H84" s="3" t="str">
        <f t="shared" si="9"/>
        <v>Tabele_zaglavlje_BPK4</v>
      </c>
      <c r="I84" s="3">
        <f t="shared" si="8"/>
        <v>1</v>
      </c>
    </row>
    <row r="85" spans="1:9">
      <c r="A85" t="s">
        <v>2384</v>
      </c>
      <c r="B85" t="s">
        <v>2403</v>
      </c>
      <c r="C85" s="246" t="s">
        <v>196</v>
      </c>
      <c r="D85" s="246" t="s">
        <v>808</v>
      </c>
      <c r="E85" s="246" t="s">
        <v>0</v>
      </c>
      <c r="F85" t="s">
        <v>2236</v>
      </c>
      <c r="G85" s="3" t="str">
        <f t="shared" ca="1" si="10"/>
        <v>Rezerve</v>
      </c>
      <c r="H85" s="3" t="str">
        <f t="shared" si="9"/>
        <v>Tabele_zaglavlje_BPK5</v>
      </c>
      <c r="I85" s="3">
        <f t="shared" si="8"/>
        <v>1</v>
      </c>
    </row>
    <row r="86" spans="1:9" ht="60.75" customHeight="1">
      <c r="A86" t="s">
        <v>2384</v>
      </c>
      <c r="B86" t="s">
        <v>2404</v>
      </c>
      <c r="C86" s="247" t="s">
        <v>197</v>
      </c>
      <c r="D86" s="247" t="s">
        <v>809</v>
      </c>
      <c r="E86" s="246" t="s">
        <v>2413</v>
      </c>
      <c r="F86" t="s">
        <v>2237</v>
      </c>
      <c r="G86" s="3" t="str">
        <f t="shared" ca="1" si="10"/>
        <v>Revalorizacione 
rezerve za 
nekretnine, 
postrojenja i opremu</v>
      </c>
      <c r="H86" s="3" t="str">
        <f t="shared" si="9"/>
        <v>Tabele_zaglavlje_BPK6</v>
      </c>
      <c r="I86" s="3">
        <f t="shared" si="8"/>
        <v>1</v>
      </c>
    </row>
    <row r="87" spans="1:9" ht="45" customHeight="1">
      <c r="A87" t="s">
        <v>2384</v>
      </c>
      <c r="B87" t="s">
        <v>2405</v>
      </c>
      <c r="C87" s="247" t="s">
        <v>198</v>
      </c>
      <c r="D87" s="247" t="s">
        <v>810</v>
      </c>
      <c r="E87" s="246" t="s">
        <v>1433</v>
      </c>
      <c r="F87" t="s">
        <v>2238</v>
      </c>
      <c r="G87" s="3" t="str">
        <f t="shared" ca="1" si="10"/>
        <v>Revalorizacione rezerve za finansijska sredstva vrednovana po fer vrijednosti krozu ostali ukupni rezultat</v>
      </c>
      <c r="H87" s="3" t="str">
        <f t="shared" si="9"/>
        <v>Tabele_zaglavlje_BPK7</v>
      </c>
      <c r="I87" s="3">
        <f t="shared" si="8"/>
        <v>1</v>
      </c>
    </row>
    <row r="88" spans="1:9" ht="45" customHeight="1">
      <c r="A88" t="s">
        <v>2384</v>
      </c>
      <c r="B88" t="s">
        <v>2406</v>
      </c>
      <c r="C88" s="247" t="s">
        <v>199</v>
      </c>
      <c r="D88" s="247" t="s">
        <v>811</v>
      </c>
      <c r="E88" s="246" t="s">
        <v>2414</v>
      </c>
      <c r="F88" t="s">
        <v>564</v>
      </c>
      <c r="G88" s="3" t="str">
        <f t="shared" ca="1" si="10"/>
        <v>Ostale revalorizacione rezerve</v>
      </c>
      <c r="H88" s="3" t="str">
        <f>SUBSTITUTE(A88&amp;"_"&amp;B88," ","_")</f>
        <v>Tabele_zaglavlje_BPK8</v>
      </c>
      <c r="I88" s="3">
        <f t="shared" si="8"/>
        <v>1</v>
      </c>
    </row>
    <row r="89" spans="1:9" ht="45" customHeight="1">
      <c r="A89" t="s">
        <v>2384</v>
      </c>
      <c r="B89" t="s">
        <v>2407</v>
      </c>
      <c r="C89" s="247" t="s">
        <v>233</v>
      </c>
      <c r="D89" s="247" t="s">
        <v>812</v>
      </c>
      <c r="E89" s="246" t="s">
        <v>2415</v>
      </c>
      <c r="F89" t="s">
        <v>565</v>
      </c>
      <c r="G89" s="3" t="str">
        <f t="shared" ca="1" si="10"/>
        <v>Akumulirana neraspoređena dobit/(nepokriveni gubitak)</v>
      </c>
      <c r="H89" s="3" t="str">
        <f>SUBSTITUTE(A89&amp;"_"&amp;B89," ","_")</f>
        <v>Tabele_zaglavlje_BPK9</v>
      </c>
      <c r="I89" s="3">
        <f t="shared" si="8"/>
        <v>1</v>
      </c>
    </row>
    <row r="90" spans="1:9" ht="35.25" customHeight="1">
      <c r="A90" t="s">
        <v>2384</v>
      </c>
      <c r="B90" t="s">
        <v>2408</v>
      </c>
      <c r="C90" s="248" t="s">
        <v>36</v>
      </c>
      <c r="D90" s="248" t="s">
        <v>35</v>
      </c>
      <c r="E90" s="181" t="s">
        <v>38</v>
      </c>
      <c r="F90" s="181" t="s">
        <v>37</v>
      </c>
      <c r="G90" s="3" t="str">
        <f t="shared" ca="1" si="7"/>
        <v>Ukupno 
(3+4+5+6±7± 8 ± 9)</v>
      </c>
      <c r="H90" s="3" t="str">
        <f t="shared" si="9"/>
        <v>Tabele_zaglavlje_BPK10</v>
      </c>
      <c r="I90" s="3">
        <f t="shared" si="8"/>
        <v>1</v>
      </c>
    </row>
    <row r="91" spans="1:9">
      <c r="A91" t="s">
        <v>2384</v>
      </c>
      <c r="B91" t="s">
        <v>200</v>
      </c>
      <c r="C91" t="s">
        <v>234</v>
      </c>
      <c r="D91" s="246" t="s">
        <v>813</v>
      </c>
      <c r="E91" t="s">
        <v>2416</v>
      </c>
      <c r="F91" t="s">
        <v>2239</v>
      </c>
      <c r="G91" s="3" t="str">
        <f t="shared" ca="1" si="7"/>
        <v>UDJELI KOJI NEMAJU KONTROLU (MANJINSKI INTERES)</v>
      </c>
      <c r="H91" s="3" t="str">
        <f t="shared" si="9"/>
        <v>Tabele_zaglavlje_BPK11</v>
      </c>
      <c r="I91" s="3">
        <f t="shared" si="8"/>
        <v>1</v>
      </c>
    </row>
    <row r="92" spans="1:9" ht="25.5">
      <c r="A92" t="s">
        <v>2384</v>
      </c>
      <c r="B92" t="s">
        <v>201</v>
      </c>
      <c r="C92" s="181" t="s">
        <v>232</v>
      </c>
      <c r="D92" s="248" t="s">
        <v>814</v>
      </c>
      <c r="E92" t="s">
        <v>2417</v>
      </c>
      <c r="F92" t="s">
        <v>2240</v>
      </c>
      <c r="G92" s="3" t="str">
        <f t="shared" ca="1" si="7"/>
        <v>UKUPNI KAPITAL
(10+11)</v>
      </c>
      <c r="H92" s="3" t="str">
        <f t="shared" si="9"/>
        <v>Tabele_zaglavlje_BPK12</v>
      </c>
      <c r="I92" s="3">
        <f t="shared" si="8"/>
        <v>1</v>
      </c>
    </row>
    <row r="93" spans="1:9">
      <c r="A93" t="s">
        <v>1716</v>
      </c>
      <c r="B93" t="s">
        <v>1718</v>
      </c>
      <c r="C93" t="s">
        <v>1771</v>
      </c>
      <c r="D93" t="s">
        <v>1772</v>
      </c>
      <c r="E93" t="s">
        <v>1799</v>
      </c>
      <c r="F93" t="s">
        <v>2241</v>
      </c>
      <c r="G93" s="3" t="str">
        <f t="shared" ca="1" si="7"/>
        <v>Obavezan unos podataka u formi!</v>
      </c>
      <c r="H93" s="3" t="str">
        <f t="shared" ref="H93:H102" si="11">SUBSTITUTE(A93&amp;"_"&amp;B93," ","_")</f>
        <v>Kontrola_Obavezno</v>
      </c>
      <c r="I93" s="3">
        <f t="shared" si="8"/>
        <v>1</v>
      </c>
    </row>
    <row r="94" spans="1:9">
      <c r="A94" t="s">
        <v>1716</v>
      </c>
      <c r="B94" t="s">
        <v>1719</v>
      </c>
      <c r="C94" t="s">
        <v>1717</v>
      </c>
      <c r="D94" t="s">
        <v>1720</v>
      </c>
      <c r="E94" t="s">
        <v>1721</v>
      </c>
      <c r="F94" t="s">
        <v>2242</v>
      </c>
      <c r="G94" s="3" t="str">
        <f t="shared" ca="1" si="7"/>
        <v>Neispravan unos podataka!</v>
      </c>
      <c r="H94" s="3" t="str">
        <f t="shared" si="11"/>
        <v>Kontrola_Neispravno</v>
      </c>
      <c r="I94" s="3">
        <f t="shared" si="8"/>
        <v>1</v>
      </c>
    </row>
    <row r="95" spans="1:9">
      <c r="A95" t="s">
        <v>1744</v>
      </c>
      <c r="B95" t="s">
        <v>1745</v>
      </c>
      <c r="C95" t="s">
        <v>1697</v>
      </c>
      <c r="D95" t="s">
        <v>1738</v>
      </c>
      <c r="E95" t="s">
        <v>1706</v>
      </c>
      <c r="F95" t="s">
        <v>2243</v>
      </c>
      <c r="G95" s="3" t="str">
        <f t="shared" ca="1" si="7"/>
        <v>Revidiran izvještaj:</v>
      </c>
      <c r="H95" s="3" t="str">
        <f t="shared" si="11"/>
        <v>Revizija_Revidiran_izvjestaj</v>
      </c>
      <c r="I95" s="3">
        <f t="shared" si="8"/>
        <v>1</v>
      </c>
    </row>
    <row r="96" spans="1:9">
      <c r="A96" t="s">
        <v>1744</v>
      </c>
      <c r="B96" t="s">
        <v>1746</v>
      </c>
      <c r="C96" t="s">
        <v>1762</v>
      </c>
      <c r="D96" t="s">
        <v>1763</v>
      </c>
      <c r="E96" t="s">
        <v>1764</v>
      </c>
      <c r="F96" t="s">
        <v>2244</v>
      </c>
      <c r="G96" s="3" t="str">
        <f t="shared" ca="1" si="7"/>
        <v>Mišljenje revizora:</v>
      </c>
      <c r="H96" s="3" t="str">
        <f t="shared" si="11"/>
        <v>Revizija_Misljenje</v>
      </c>
      <c r="I96" s="3">
        <f t="shared" si="8"/>
        <v>1</v>
      </c>
    </row>
    <row r="97" spans="1:9">
      <c r="A97" t="s">
        <v>1744</v>
      </c>
      <c r="B97" t="s">
        <v>1714</v>
      </c>
      <c r="C97" t="s">
        <v>1715</v>
      </c>
      <c r="D97" t="s">
        <v>1739</v>
      </c>
      <c r="E97" t="s">
        <v>1722</v>
      </c>
      <c r="F97" t="s">
        <v>2245</v>
      </c>
      <c r="G97" s="3" t="str">
        <f t="shared" ca="1" si="7"/>
        <v>Podaci o revizorskoj firmi:</v>
      </c>
      <c r="H97" s="3" t="str">
        <f t="shared" si="11"/>
        <v>Revizija_Podaci_o_revizorskoj_firmi</v>
      </c>
      <c r="I97" s="3">
        <f t="shared" si="8"/>
        <v>1</v>
      </c>
    </row>
    <row r="98" spans="1:9">
      <c r="A98" t="s">
        <v>1744</v>
      </c>
      <c r="B98" t="s">
        <v>1795</v>
      </c>
      <c r="C98" t="s">
        <v>1796</v>
      </c>
      <c r="D98" t="s">
        <v>1797</v>
      </c>
      <c r="E98" t="s">
        <v>1798</v>
      </c>
      <c r="F98" t="s">
        <v>2246</v>
      </c>
      <c r="G98" s="3" t="str">
        <f t="shared" ca="1" si="7"/>
        <v>Naziv revizorske firme:</v>
      </c>
      <c r="H98" s="3" t="str">
        <f>SUBSTITUTE(A98&amp;"_"&amp;B98," ","_")</f>
        <v>Revizija_Naziv_revizorske_firme</v>
      </c>
      <c r="I98" s="3">
        <f t="shared" si="8"/>
        <v>1</v>
      </c>
    </row>
    <row r="99" spans="1:9">
      <c r="A99" t="s">
        <v>1744</v>
      </c>
      <c r="B99" t="s">
        <v>1747</v>
      </c>
      <c r="C99" t="s">
        <v>1707</v>
      </c>
      <c r="D99" t="s">
        <v>1740</v>
      </c>
      <c r="E99" t="s">
        <v>1773</v>
      </c>
      <c r="F99" t="s">
        <v>2247</v>
      </c>
      <c r="G99" s="3" t="str">
        <f ca="1">CHOOSE( ID_Jezik, C99, D99, E99,F99)</f>
        <v>Pozitivno mišljenje</v>
      </c>
      <c r="H99" s="3" t="str">
        <f t="shared" si="11"/>
        <v>Revizija_Pozitivno</v>
      </c>
      <c r="I99" s="3">
        <f t="shared" si="8"/>
        <v>1</v>
      </c>
    </row>
    <row r="100" spans="1:9">
      <c r="A100" t="s">
        <v>1744</v>
      </c>
      <c r="B100" t="s">
        <v>1750</v>
      </c>
      <c r="C100" t="s">
        <v>1713</v>
      </c>
      <c r="D100" t="s">
        <v>1741</v>
      </c>
      <c r="E100" t="s">
        <v>1708</v>
      </c>
      <c r="F100" t="s">
        <v>2248</v>
      </c>
      <c r="G100" s="3" t="str">
        <f ca="1">CHOOSE( ID_Jezik, C100, D100, E100,F100)</f>
        <v>Mišljenje sa rezervom</v>
      </c>
      <c r="H100" s="3" t="str">
        <f t="shared" si="11"/>
        <v>Revizija_Sa_rezervom</v>
      </c>
      <c r="I100" s="3">
        <f t="shared" si="8"/>
        <v>1</v>
      </c>
    </row>
    <row r="101" spans="1:9">
      <c r="A101" t="s">
        <v>1744</v>
      </c>
      <c r="B101" t="s">
        <v>1748</v>
      </c>
      <c r="C101" t="s">
        <v>1710</v>
      </c>
      <c r="D101" t="s">
        <v>1742</v>
      </c>
      <c r="E101" t="s">
        <v>1709</v>
      </c>
      <c r="F101" t="s">
        <v>2249</v>
      </c>
      <c r="G101" s="3" t="str">
        <f ca="1">CHOOSE( ID_Jezik, C101, D101, E101,F101)</f>
        <v>Negativno mišljenje</v>
      </c>
      <c r="H101" s="3" t="str">
        <f t="shared" si="11"/>
        <v>Revizija_Negativno</v>
      </c>
      <c r="I101" s="3">
        <f t="shared" si="8"/>
        <v>1</v>
      </c>
    </row>
    <row r="102" spans="1:9">
      <c r="A102" t="s">
        <v>1744</v>
      </c>
      <c r="B102" t="s">
        <v>1749</v>
      </c>
      <c r="C102" t="s">
        <v>1712</v>
      </c>
      <c r="D102" t="s">
        <v>1743</v>
      </c>
      <c r="E102" t="s">
        <v>1711</v>
      </c>
      <c r="F102" t="s">
        <v>2250</v>
      </c>
      <c r="G102" s="3" t="str">
        <f ca="1">CHOOSE( ID_Jezik, C102, D102, E102,F102)</f>
        <v>Uzdržavanje od mišljenja</v>
      </c>
      <c r="H102" s="3" t="str">
        <f t="shared" si="11"/>
        <v>Revizija_Uzdrzavanje</v>
      </c>
      <c r="I102" s="3">
        <f t="shared" si="8"/>
        <v>1</v>
      </c>
    </row>
  </sheetData>
  <sheetProtection sheet="1" objects="1" scenarios="1"/>
  <phoneticPr fontId="25" type="noConversion"/>
  <conditionalFormatting sqref="C101:F102 F71:F87 F90:F102 C70:E83 C84:D85 C86:E100 C2:F69">
    <cfRule type="containsBlanks" dxfId="207" priority="2" stopIfTrue="1">
      <formula>LEN(TRIM(C2))=0</formula>
    </cfRule>
  </conditionalFormatting>
  <pageMargins left="0.7" right="0.7" top="0.75" bottom="0.75" header="0.3" footer="0.3"/>
  <pageSetup orientation="portrait" horizontalDpi="1200" verticalDpi="1200" r:id="rId1"/>
  <ignoredErrors>
    <ignoredError sqref="C56:D56" formula="1"/>
  </ignoredErrors>
  <tableParts count="1">
    <tablePart r:id="rId2"/>
  </tableParts>
</worksheet>
</file>

<file path=xl/worksheets/sheet10.xml><?xml version="1.0" encoding="utf-8"?>
<worksheet xmlns="http://schemas.openxmlformats.org/spreadsheetml/2006/main" xmlns:r="http://schemas.openxmlformats.org/officeDocument/2006/relationships">
  <sheetPr codeName="Sheet12">
    <tabColor rgb="FFFF0000"/>
  </sheetPr>
  <dimension ref="A1:P456"/>
  <sheetViews>
    <sheetView showGridLines="0" showRowColHeaders="0" zoomScaleNormal="100" workbookViewId="0">
      <pane xSplit="5" ySplit="1" topLeftCell="F32" activePane="bottomRight" state="frozen"/>
      <selection activeCell="C12" sqref="C12:O12"/>
      <selection pane="topRight" activeCell="C12" sqref="C12:O12"/>
      <selection pane="bottomLeft" activeCell="C12" sqref="C12:O12"/>
      <selection pane="bottomRight" activeCell="E67" sqref="E67"/>
    </sheetView>
  </sheetViews>
  <sheetFormatPr defaultRowHeight="12.75"/>
  <cols>
    <col min="1" max="1" width="8" customWidth="1"/>
    <col min="2" max="2" width="8.5703125" customWidth="1"/>
    <col min="3" max="3" width="10.140625" customWidth="1"/>
    <col min="4" max="4" width="7.140625" customWidth="1"/>
    <col min="5" max="5" width="18.5703125" customWidth="1"/>
    <col min="6" max="6" width="147.140625" customWidth="1"/>
    <col min="7" max="7" width="112.28515625" style="285" customWidth="1"/>
    <col min="8" max="8" width="57.7109375" style="285" customWidth="1"/>
    <col min="9" max="9" width="73" style="285" customWidth="1"/>
    <col min="10" max="10" width="67.85546875" style="285" customWidth="1"/>
    <col min="11" max="13" width="19.7109375" style="283" customWidth="1"/>
    <col min="14" max="14" width="19.7109375" style="284" customWidth="1"/>
    <col min="17" max="16384" width="9.140625" style="105"/>
  </cols>
  <sheetData>
    <row r="1" spans="1:16" ht="25.5" customHeight="1">
      <c r="A1" s="349" t="s">
        <v>1527</v>
      </c>
      <c r="B1" s="349" t="s">
        <v>2371</v>
      </c>
      <c r="C1" s="349" t="s">
        <v>2370</v>
      </c>
      <c r="D1" s="349" t="s">
        <v>1478</v>
      </c>
      <c r="E1" s="350" t="s">
        <v>2434</v>
      </c>
      <c r="F1" s="350" t="s">
        <v>2376</v>
      </c>
      <c r="G1" s="351" t="s">
        <v>2373</v>
      </c>
      <c r="H1" s="351" t="s">
        <v>2374</v>
      </c>
      <c r="I1" s="351" t="s">
        <v>2375</v>
      </c>
      <c r="J1" s="351" t="s">
        <v>282</v>
      </c>
      <c r="K1" s="351" t="s">
        <v>2086</v>
      </c>
      <c r="L1" s="351" t="s">
        <v>2087</v>
      </c>
      <c r="M1" s="351" t="s">
        <v>2088</v>
      </c>
      <c r="N1" s="352" t="s">
        <v>2253</v>
      </c>
      <c r="O1" s="349" t="s">
        <v>2076</v>
      </c>
      <c r="P1" s="349" t="s">
        <v>2077</v>
      </c>
    </row>
    <row r="2" spans="1:16" ht="36.75" customHeight="1">
      <c r="A2">
        <f t="shared" ref="A2:A65" si="0">ROW()-ROW($A$1)</f>
        <v>1</v>
      </c>
      <c r="B2" t="s">
        <v>2897</v>
      </c>
      <c r="C2">
        <v>1</v>
      </c>
      <c r="D2" s="229">
        <v>1</v>
      </c>
      <c r="E2" s="2">
        <f ca="1">VLOOKUP( Aop!$A2, Aop!$A$2:$P$456, ID_Jezik +10, 1)</f>
        <v>0</v>
      </c>
      <c r="F2" t="str">
        <f ca="1">REPT( "  ", Aop!$C2) &amp; VLOOKUP( Aop!$A2, Aop!$A$2:$P$456, ID_Jezik + 6, 1)</f>
        <v xml:space="preserve">  BILANSNA AKTIVA
A. STALNA SREDSTVA (002+008+015+016+017+022+034)</v>
      </c>
      <c r="G2" s="275" t="s">
        <v>1356</v>
      </c>
      <c r="H2" s="275" t="s">
        <v>1357</v>
      </c>
      <c r="I2" s="275" t="s">
        <v>1358</v>
      </c>
      <c r="J2" s="275" t="s">
        <v>1359</v>
      </c>
      <c r="K2" s="348">
        <v>0</v>
      </c>
      <c r="L2" s="348">
        <v>0</v>
      </c>
      <c r="O2" s="10">
        <v>1</v>
      </c>
      <c r="P2" s="10"/>
    </row>
    <row r="3" spans="1:16">
      <c r="A3">
        <f t="shared" si="0"/>
        <v>2</v>
      </c>
      <c r="B3" t="s">
        <v>2897</v>
      </c>
      <c r="C3">
        <v>1</v>
      </c>
      <c r="D3" s="229">
        <v>2</v>
      </c>
      <c r="E3" s="2" t="str">
        <f ca="1">VLOOKUP( Aop!$A3, Aop!$A$2:$P$456, ID_Jezik +10, 1)</f>
        <v>01</v>
      </c>
      <c r="F3" t="str">
        <f ca="1">REPT( "  ", Aop!$C3) &amp; VLOOKUP( Aop!$A3, Aop!$A$2:$P$456, ID_Jezik + 6, 1)</f>
        <v xml:space="preserve">  I  NEMATERIJALNA SREDSTVA  (003 do 007)</v>
      </c>
      <c r="G3" s="276" t="s">
        <v>2586</v>
      </c>
      <c r="H3" s="276" t="s">
        <v>2544</v>
      </c>
      <c r="I3" s="285" t="s">
        <v>145</v>
      </c>
      <c r="J3" s="296" t="s">
        <v>1904</v>
      </c>
      <c r="K3" s="367" t="s">
        <v>2466</v>
      </c>
      <c r="L3" s="262" t="s">
        <v>2466</v>
      </c>
      <c r="M3" s="286" t="s">
        <v>2466</v>
      </c>
      <c r="N3" s="261" t="s">
        <v>2466</v>
      </c>
      <c r="O3" s="10">
        <v>1</v>
      </c>
      <c r="P3" s="10"/>
    </row>
    <row r="4" spans="1:16">
      <c r="A4">
        <f t="shared" si="0"/>
        <v>3</v>
      </c>
      <c r="B4" t="s">
        <v>2897</v>
      </c>
      <c r="C4">
        <v>2</v>
      </c>
      <c r="D4" s="229">
        <v>3</v>
      </c>
      <c r="E4" s="2" t="str">
        <f ca="1">VLOOKUP( Aop!$A4, Aop!$A$2:$P$456, ID_Jezik +10, 1)</f>
        <v>010, dio 019</v>
      </c>
      <c r="F4" t="str">
        <f ca="1">REPT( "  ", Aop!$C4) &amp; VLOOKUP( Aop!$A4, Aop!$A$2:$P$456, ID_Jezik + 6, 1)</f>
        <v xml:space="preserve">    1. Ulaganja u razvoj</v>
      </c>
      <c r="G4" s="285" t="s">
        <v>2587</v>
      </c>
      <c r="H4" s="275" t="s">
        <v>2561</v>
      </c>
      <c r="I4" s="285" t="s">
        <v>577</v>
      </c>
      <c r="J4" s="369" t="s">
        <v>1905</v>
      </c>
      <c r="K4" s="368" t="s">
        <v>1958</v>
      </c>
      <c r="L4" s="264" t="s">
        <v>1959</v>
      </c>
      <c r="M4" s="286" t="s">
        <v>1960</v>
      </c>
      <c r="N4" s="251" t="s">
        <v>41</v>
      </c>
      <c r="O4" s="10"/>
      <c r="P4" s="10"/>
    </row>
    <row r="5" spans="1:16">
      <c r="A5">
        <f t="shared" si="0"/>
        <v>4</v>
      </c>
      <c r="B5" t="s">
        <v>2897</v>
      </c>
      <c r="C5">
        <v>2</v>
      </c>
      <c r="D5" s="229">
        <v>4</v>
      </c>
      <c r="E5" s="2" t="str">
        <f ca="1">VLOOKUP( Aop!$A5, Aop!$A$2:$P$456, ID_Jezik +10, 1)</f>
        <v>011, 013 dio 019</v>
      </c>
      <c r="F5" t="str">
        <f ca="1">REPT( "  ", Aop!$C5) &amp; VLOOKUP( Aop!$A5, Aop!$A$2:$P$456, ID_Jezik + 6, 1)</f>
        <v xml:space="preserve">    2. Koncesije, patenti, licence, softver i ostala prava</v>
      </c>
      <c r="G5" s="285" t="s">
        <v>2588</v>
      </c>
      <c r="H5" s="276" t="s">
        <v>2907</v>
      </c>
      <c r="I5" s="285" t="s">
        <v>578</v>
      </c>
      <c r="J5" s="369" t="s">
        <v>1906</v>
      </c>
      <c r="K5" s="368" t="s">
        <v>2942</v>
      </c>
      <c r="L5" s="263" t="s">
        <v>2913</v>
      </c>
      <c r="M5" s="286" t="s">
        <v>2514</v>
      </c>
      <c r="N5" s="251" t="s">
        <v>42</v>
      </c>
      <c r="O5" s="10"/>
      <c r="P5" s="10"/>
    </row>
    <row r="6" spans="1:16">
      <c r="A6">
        <f t="shared" si="0"/>
        <v>5</v>
      </c>
      <c r="B6" t="s">
        <v>2897</v>
      </c>
      <c r="C6">
        <v>2</v>
      </c>
      <c r="D6" s="229">
        <v>5</v>
      </c>
      <c r="E6" s="2" t="str">
        <f ca="1">VLOOKUP( Aop!$A6, Aop!$A$2:$P$456, ID_Jezik +10, 1)</f>
        <v>012, dio 019</v>
      </c>
      <c r="F6" t="str">
        <f ca="1">REPT( "  ", Aop!$C6) &amp; VLOOKUP( Aop!$A6, Aop!$A$2:$P$456, ID_Jezik + 6, 1)</f>
        <v xml:space="preserve">    3. Goodwill</v>
      </c>
      <c r="G6" s="285" t="s">
        <v>2589</v>
      </c>
      <c r="H6" s="275" t="s">
        <v>2562</v>
      </c>
      <c r="I6" s="285" t="s">
        <v>2589</v>
      </c>
      <c r="J6" s="369" t="s">
        <v>2589</v>
      </c>
      <c r="K6" s="368" t="s">
        <v>1961</v>
      </c>
      <c r="L6" s="263" t="s">
        <v>1962</v>
      </c>
      <c r="M6" s="286" t="s">
        <v>1963</v>
      </c>
      <c r="N6" s="251" t="s">
        <v>43</v>
      </c>
      <c r="O6" s="10"/>
      <c r="P6" s="10"/>
    </row>
    <row r="7" spans="1:16">
      <c r="A7">
        <f t="shared" si="0"/>
        <v>6</v>
      </c>
      <c r="B7" t="s">
        <v>2897</v>
      </c>
      <c r="C7">
        <v>2</v>
      </c>
      <c r="D7" s="229">
        <v>6</v>
      </c>
      <c r="E7" s="2" t="str">
        <f ca="1">VLOOKUP( Aop!$A7, Aop!$A$2:$P$456, ID_Jezik +10, 1)</f>
        <v>014, dio 019</v>
      </c>
      <c r="F7" t="str">
        <f ca="1">REPT( "  ", Aop!$C7) &amp; VLOOKUP( Aop!$A7, Aop!$A$2:$P$456, ID_Jezik + 6, 1)</f>
        <v xml:space="preserve">    4. Ostala nematerijalna sredstva</v>
      </c>
      <c r="G7" s="285" t="s">
        <v>2590</v>
      </c>
      <c r="H7" s="276" t="s">
        <v>2564</v>
      </c>
      <c r="I7" s="285" t="s">
        <v>579</v>
      </c>
      <c r="J7" s="369" t="s">
        <v>1907</v>
      </c>
      <c r="K7" s="368" t="s">
        <v>1964</v>
      </c>
      <c r="L7" s="263" t="s">
        <v>1965</v>
      </c>
      <c r="M7" s="286" t="s">
        <v>1966</v>
      </c>
      <c r="N7" s="251" t="s">
        <v>44</v>
      </c>
      <c r="O7" s="10"/>
      <c r="P7" s="10"/>
    </row>
    <row r="8" spans="1:16">
      <c r="A8">
        <f t="shared" si="0"/>
        <v>7</v>
      </c>
      <c r="B8" t="s">
        <v>2897</v>
      </c>
      <c r="C8">
        <v>2</v>
      </c>
      <c r="D8" s="229">
        <v>7</v>
      </c>
      <c r="E8" s="2" t="str">
        <f ca="1">VLOOKUP( Aop!$A8, Aop!$A$2:$P$456, ID_Jezik +10, 1)</f>
        <v>015, 016, dio 019</v>
      </c>
      <c r="F8" t="str">
        <f ca="1">REPT( "  ", Aop!$C8) &amp; VLOOKUP( Aop!$A8, Aop!$A$2:$P$456, ID_Jezik + 6, 1)</f>
        <v xml:space="preserve">    5. Avansi i nematerijalna sredstva u pripremi </v>
      </c>
      <c r="G8" s="285" t="s">
        <v>2591</v>
      </c>
      <c r="H8" s="275" t="s">
        <v>2563</v>
      </c>
      <c r="I8" s="285" t="s">
        <v>580</v>
      </c>
      <c r="J8" s="369" t="s">
        <v>1908</v>
      </c>
      <c r="K8" s="368" t="s">
        <v>1967</v>
      </c>
      <c r="L8" s="263" t="s">
        <v>1329</v>
      </c>
      <c r="M8" s="286" t="s">
        <v>1968</v>
      </c>
      <c r="N8" s="251" t="s">
        <v>45</v>
      </c>
      <c r="O8" s="10"/>
      <c r="P8" s="10"/>
    </row>
    <row r="9" spans="1:16">
      <c r="A9">
        <f t="shared" si="0"/>
        <v>8</v>
      </c>
      <c r="B9" t="s">
        <v>2897</v>
      </c>
      <c r="C9">
        <v>1</v>
      </c>
      <c r="D9" s="229">
        <v>8</v>
      </c>
      <c r="E9" s="2" t="str">
        <f ca="1">VLOOKUP( Aop!$A9, Aop!$A$2:$P$456, ID_Jezik +10, 1)</f>
        <v>02</v>
      </c>
      <c r="F9" t="str">
        <f ca="1">REPT( "  ", Aop!$C9) &amp; VLOOKUP( Aop!$A9, Aop!$A$2:$P$456, ID_Jezik + 6, 1)</f>
        <v xml:space="preserve">  II  NEKRETNINE, POSTROJENJA I OPREMA (009 do 014) </v>
      </c>
      <c r="G9" s="276" t="s">
        <v>1364</v>
      </c>
      <c r="H9" s="276" t="s">
        <v>2545</v>
      </c>
      <c r="I9" s="285" t="s">
        <v>144</v>
      </c>
      <c r="J9" s="369" t="s">
        <v>1909</v>
      </c>
      <c r="K9" s="367" t="s">
        <v>2467</v>
      </c>
      <c r="L9" s="262" t="s">
        <v>2467</v>
      </c>
      <c r="M9" s="286" t="s">
        <v>2467</v>
      </c>
      <c r="N9" s="261" t="s">
        <v>2467</v>
      </c>
      <c r="O9" s="10">
        <v>1</v>
      </c>
      <c r="P9" s="10"/>
    </row>
    <row r="10" spans="1:16">
      <c r="A10">
        <f t="shared" si="0"/>
        <v>9</v>
      </c>
      <c r="B10" t="s">
        <v>2897</v>
      </c>
      <c r="C10">
        <v>2</v>
      </c>
      <c r="D10" s="229">
        <v>9</v>
      </c>
      <c r="E10" s="2" t="str">
        <f ca="1">VLOOKUP( Aop!$A10, Aop!$A$2:$P$456, ID_Jezik +10, 1)</f>
        <v>020, dio 029</v>
      </c>
      <c r="F10" t="str">
        <f ca="1">REPT( "  ", Aop!$C10) &amp; VLOOKUP( Aop!$A10, Aop!$A$2:$P$456, ID_Jezik + 6, 1)</f>
        <v xml:space="preserve">    1. Zemljište</v>
      </c>
      <c r="G10" s="285" t="s">
        <v>2592</v>
      </c>
      <c r="H10" s="275" t="s">
        <v>2565</v>
      </c>
      <c r="I10" s="285" t="s">
        <v>584</v>
      </c>
      <c r="J10" s="369" t="s">
        <v>1910</v>
      </c>
      <c r="K10" s="368" t="s">
        <v>1969</v>
      </c>
      <c r="L10" s="263" t="s">
        <v>1970</v>
      </c>
      <c r="M10" s="286" t="s">
        <v>1971</v>
      </c>
      <c r="N10" s="251" t="s">
        <v>46</v>
      </c>
      <c r="O10" s="10"/>
      <c r="P10" s="10"/>
    </row>
    <row r="11" spans="1:16">
      <c r="A11">
        <f t="shared" si="0"/>
        <v>10</v>
      </c>
      <c r="B11" t="s">
        <v>2897</v>
      </c>
      <c r="C11">
        <v>2</v>
      </c>
      <c r="D11" s="229">
        <v>10</v>
      </c>
      <c r="E11" s="2" t="str">
        <f ca="1">VLOOKUP( Aop!$A11, Aop!$A$2:$P$456, ID_Jezik +10, 1)</f>
        <v>021, dio 029</v>
      </c>
      <c r="F11" t="str">
        <f ca="1">REPT( "  ", Aop!$C11) &amp; VLOOKUP( Aop!$A11, Aop!$A$2:$P$456, ID_Jezik + 6, 1)</f>
        <v xml:space="preserve">    2. Građevinski objekti</v>
      </c>
      <c r="G11" s="285" t="s">
        <v>2593</v>
      </c>
      <c r="H11" s="276" t="s">
        <v>2566</v>
      </c>
      <c r="I11" s="285" t="s">
        <v>585</v>
      </c>
      <c r="J11" s="369" t="s">
        <v>1911</v>
      </c>
      <c r="K11" s="368" t="s">
        <v>1972</v>
      </c>
      <c r="L11" s="263" t="s">
        <v>1973</v>
      </c>
      <c r="M11" s="286" t="s">
        <v>1974</v>
      </c>
      <c r="N11" s="251" t="s">
        <v>47</v>
      </c>
      <c r="O11" s="10"/>
      <c r="P11" s="10"/>
    </row>
    <row r="12" spans="1:16">
      <c r="A12">
        <f t="shared" si="0"/>
        <v>11</v>
      </c>
      <c r="B12" t="s">
        <v>2897</v>
      </c>
      <c r="C12">
        <v>2</v>
      </c>
      <c r="D12" s="229">
        <v>11</v>
      </c>
      <c r="E12" s="2" t="str">
        <f ca="1">VLOOKUP( Aop!$A12, Aop!$A$2:$P$456, ID_Jezik +10, 1)</f>
        <v>022, dio 029</v>
      </c>
      <c r="F12" t="str">
        <f ca="1">REPT( "  ", Aop!$C12) &amp; VLOOKUP( Aop!$A12, Aop!$A$2:$P$456, ID_Jezik + 6, 1)</f>
        <v xml:space="preserve">    3. Postrojenja i oprema</v>
      </c>
      <c r="G12" s="285" t="s">
        <v>2594</v>
      </c>
      <c r="H12" s="275" t="s">
        <v>2567</v>
      </c>
      <c r="I12" s="285" t="s">
        <v>586</v>
      </c>
      <c r="J12" s="369" t="s">
        <v>1912</v>
      </c>
      <c r="K12" s="368" t="s">
        <v>1975</v>
      </c>
      <c r="L12" s="263" t="s">
        <v>1976</v>
      </c>
      <c r="M12" s="286" t="s">
        <v>1977</v>
      </c>
      <c r="N12" s="251" t="s">
        <v>48</v>
      </c>
      <c r="O12" s="10"/>
      <c r="P12" s="10"/>
    </row>
    <row r="13" spans="1:16">
      <c r="A13">
        <f t="shared" si="0"/>
        <v>12</v>
      </c>
      <c r="B13" t="s">
        <v>2897</v>
      </c>
      <c r="C13">
        <v>2</v>
      </c>
      <c r="D13" s="229">
        <v>12</v>
      </c>
      <c r="E13" s="2" t="str">
        <f ca="1">VLOOKUP( Aop!$A13, Aop!$A$2:$P$456, ID_Jezik +10, 1)</f>
        <v>023, dio 029</v>
      </c>
      <c r="F13" t="str">
        <f ca="1">REPT( "  ", Aop!$C13) &amp; VLOOKUP( Aop!$A13, Aop!$A$2:$P$456, ID_Jezik + 6, 1)</f>
        <v xml:space="preserve">    4. Ostale nekretnine, postrojenja i oprema</v>
      </c>
      <c r="G13" s="285" t="s">
        <v>2595</v>
      </c>
      <c r="H13" s="276" t="s">
        <v>2568</v>
      </c>
      <c r="I13" s="285" t="s">
        <v>587</v>
      </c>
      <c r="J13" s="369" t="s">
        <v>1913</v>
      </c>
      <c r="K13" s="368" t="s">
        <v>1978</v>
      </c>
      <c r="L13" s="263" t="s">
        <v>1979</v>
      </c>
      <c r="M13" s="286" t="s">
        <v>1980</v>
      </c>
      <c r="N13" s="251" t="s">
        <v>49</v>
      </c>
      <c r="O13" s="10"/>
      <c r="P13" s="10"/>
    </row>
    <row r="14" spans="1:16">
      <c r="A14">
        <f t="shared" si="0"/>
        <v>13</v>
      </c>
      <c r="B14" t="s">
        <v>2897</v>
      </c>
      <c r="C14">
        <v>2</v>
      </c>
      <c r="D14" s="229">
        <v>13</v>
      </c>
      <c r="E14" s="2" t="str">
        <f ca="1">VLOOKUP( Aop!$A14, Aop!$A$2:$P$456, ID_Jezik +10, 1)</f>
        <v>024, dio 029</v>
      </c>
      <c r="F14" t="str">
        <f ca="1">REPT( "  ", Aop!$C14) &amp; VLOOKUP( Aop!$A14, Aop!$A$2:$P$456, ID_Jezik + 6, 1)</f>
        <v xml:space="preserve">    5. Ulaganje na tuđim nekretninama, postrojenjima i opremi</v>
      </c>
      <c r="G14" s="285" t="s">
        <v>2596</v>
      </c>
      <c r="H14" s="275" t="s">
        <v>2569</v>
      </c>
      <c r="I14" s="285" t="s">
        <v>588</v>
      </c>
      <c r="J14" s="369" t="s">
        <v>1914</v>
      </c>
      <c r="K14" s="368" t="s">
        <v>1981</v>
      </c>
      <c r="L14" s="263" t="s">
        <v>1982</v>
      </c>
      <c r="M14" s="286" t="s">
        <v>1983</v>
      </c>
      <c r="N14" s="251" t="s">
        <v>50</v>
      </c>
      <c r="O14" s="10"/>
      <c r="P14" s="10"/>
    </row>
    <row r="15" spans="1:16">
      <c r="A15">
        <f t="shared" si="0"/>
        <v>14</v>
      </c>
      <c r="B15" t="s">
        <v>2897</v>
      </c>
      <c r="C15">
        <v>2</v>
      </c>
      <c r="D15" s="229">
        <v>14</v>
      </c>
      <c r="E15" s="2" t="str">
        <f ca="1">VLOOKUP( Aop!$A15, Aop!$A$2:$P$456, ID_Jezik +10, 1)</f>
        <v>025, 026, dio 029</v>
      </c>
      <c r="F15" t="str">
        <f ca="1">REPT( "  ", Aop!$C15) &amp; VLOOKUP( Aop!$A15, Aop!$A$2:$P$456, ID_Jezik + 6, 1)</f>
        <v xml:space="preserve">    6. Avansi i nekretnine, postrojenja i opremu u pripremi</v>
      </c>
      <c r="G15" s="285" t="s">
        <v>2597</v>
      </c>
      <c r="H15" s="276" t="s">
        <v>2570</v>
      </c>
      <c r="I15" s="285" t="s">
        <v>589</v>
      </c>
      <c r="J15" s="369" t="s">
        <v>1915</v>
      </c>
      <c r="K15" s="368" t="s">
        <v>2943</v>
      </c>
      <c r="L15" s="263" t="s">
        <v>2914</v>
      </c>
      <c r="M15" s="286" t="s">
        <v>2515</v>
      </c>
      <c r="N15" s="251" t="s">
        <v>51</v>
      </c>
      <c r="O15" s="10"/>
      <c r="P15" s="10"/>
    </row>
    <row r="16" spans="1:16">
      <c r="A16">
        <f t="shared" si="0"/>
        <v>15</v>
      </c>
      <c r="B16" t="s">
        <v>2897</v>
      </c>
      <c r="C16">
        <v>1</v>
      </c>
      <c r="D16" s="229">
        <v>15</v>
      </c>
      <c r="E16" s="2" t="str">
        <f ca="1">VLOOKUP( Aop!$A16, Aop!$A$2:$P$456, ID_Jezik +10, 1)</f>
        <v>03</v>
      </c>
      <c r="F16" t="str">
        <f ca="1">REPT( "  ", Aop!$C16) &amp; VLOOKUP( Aop!$A16, Aop!$A$2:$P$456, ID_Jezik + 6, 1)</f>
        <v xml:space="preserve">  III INVESTICIONE NEKRETNINE</v>
      </c>
      <c r="G16" s="276" t="s">
        <v>2598</v>
      </c>
      <c r="H16" s="275" t="s">
        <v>2547</v>
      </c>
      <c r="I16" s="285" t="s">
        <v>1620</v>
      </c>
      <c r="J16" s="369" t="s">
        <v>1916</v>
      </c>
      <c r="K16" s="368" t="s">
        <v>2468</v>
      </c>
      <c r="L16" s="264" t="s">
        <v>2468</v>
      </c>
      <c r="M16" s="286" t="s">
        <v>2468</v>
      </c>
      <c r="N16" s="261" t="s">
        <v>2468</v>
      </c>
      <c r="O16" s="10"/>
      <c r="P16" s="10"/>
    </row>
    <row r="17" spans="1:16">
      <c r="A17">
        <f t="shared" si="0"/>
        <v>16</v>
      </c>
      <c r="B17" t="s">
        <v>2897</v>
      </c>
      <c r="C17">
        <v>1</v>
      </c>
      <c r="D17" s="229">
        <v>16</v>
      </c>
      <c r="E17" s="2" t="str">
        <f ca="1">VLOOKUP( Aop!$A17, Aop!$A$2:$P$456, ID_Jezik +10, 1)</f>
        <v>04</v>
      </c>
      <c r="F17" t="str">
        <f ca="1">REPT( "  ", Aop!$C17) &amp; VLOOKUP( Aop!$A17, Aop!$A$2:$P$456, ID_Jezik + 6, 1)</f>
        <v xml:space="preserve">  IV SREDSTVA UZETA U ZAKUP </v>
      </c>
      <c r="G17" s="276" t="s">
        <v>2599</v>
      </c>
      <c r="H17" s="276" t="s">
        <v>2548</v>
      </c>
      <c r="I17" s="285" t="s">
        <v>2537</v>
      </c>
      <c r="J17" s="369" t="s">
        <v>1917</v>
      </c>
      <c r="K17" s="368" t="s">
        <v>2469</v>
      </c>
      <c r="L17" s="264" t="s">
        <v>2469</v>
      </c>
      <c r="M17" s="286" t="s">
        <v>2469</v>
      </c>
      <c r="N17" s="261" t="s">
        <v>2469</v>
      </c>
      <c r="O17" s="10"/>
      <c r="P17" s="10"/>
    </row>
    <row r="18" spans="1:16">
      <c r="A18">
        <f t="shared" si="0"/>
        <v>17</v>
      </c>
      <c r="B18" t="s">
        <v>2897</v>
      </c>
      <c r="C18">
        <v>1</v>
      </c>
      <c r="D18" s="229">
        <v>17</v>
      </c>
      <c r="E18" s="2" t="str">
        <f ca="1">VLOOKUP( Aop!$A18, Aop!$A$2:$P$456, ID_Jezik +10, 1)</f>
        <v>05</v>
      </c>
      <c r="F18" t="str">
        <f ca="1">REPT( "  ", Aop!$C18) &amp; VLOOKUP( Aop!$A18, Aop!$A$2:$P$456, ID_Jezik + 6, 1)</f>
        <v xml:space="preserve">  V BIOLOŠKA SREDSTVA   (018 do 021)</v>
      </c>
      <c r="G18" s="276" t="s">
        <v>2600</v>
      </c>
      <c r="H18" s="275" t="s">
        <v>2549</v>
      </c>
      <c r="I18" s="285" t="s">
        <v>2538</v>
      </c>
      <c r="J18" s="369" t="s">
        <v>1918</v>
      </c>
      <c r="K18" s="368" t="s">
        <v>2944</v>
      </c>
      <c r="L18" s="264" t="s">
        <v>2944</v>
      </c>
      <c r="M18" s="286" t="s">
        <v>2944</v>
      </c>
      <c r="N18" s="261" t="s">
        <v>2944</v>
      </c>
      <c r="O18" s="10">
        <v>1</v>
      </c>
      <c r="P18" s="10"/>
    </row>
    <row r="19" spans="1:16">
      <c r="A19">
        <f t="shared" si="0"/>
        <v>18</v>
      </c>
      <c r="B19" t="s">
        <v>2897</v>
      </c>
      <c r="C19">
        <v>2</v>
      </c>
      <c r="D19" s="229">
        <v>18</v>
      </c>
      <c r="E19" s="2" t="str">
        <f ca="1">VLOOKUP( Aop!$A19, Aop!$A$2:$P$456, ID_Jezik +10, 1)</f>
        <v>050, dio 059</v>
      </c>
      <c r="F19" t="str">
        <f ca="1">REPT( "  ", Aop!$C19) &amp; VLOOKUP( Aop!$A19, Aop!$A$2:$P$456, ID_Jezik + 6, 1)</f>
        <v xml:space="preserve">    1. Šume</v>
      </c>
      <c r="G19" s="285" t="s">
        <v>2601</v>
      </c>
      <c r="H19" s="276" t="s">
        <v>2571</v>
      </c>
      <c r="I19" s="285" t="s">
        <v>590</v>
      </c>
      <c r="J19" s="369" t="s">
        <v>1919</v>
      </c>
      <c r="K19" s="368" t="s">
        <v>2945</v>
      </c>
      <c r="L19" s="263" t="s">
        <v>2915</v>
      </c>
      <c r="M19" s="286" t="s">
        <v>2516</v>
      </c>
      <c r="N19" s="251" t="s">
        <v>52</v>
      </c>
      <c r="O19" s="10"/>
      <c r="P19" s="10"/>
    </row>
    <row r="20" spans="1:16">
      <c r="A20">
        <f t="shared" si="0"/>
        <v>19</v>
      </c>
      <c r="B20" t="s">
        <v>2897</v>
      </c>
      <c r="C20">
        <v>2</v>
      </c>
      <c r="D20" s="229">
        <v>19</v>
      </c>
      <c r="E20" s="2" t="str">
        <f ca="1">VLOOKUP( Aop!$A20, Aop!$A$2:$P$456, ID_Jezik +10, 1)</f>
        <v>051, dio 059</v>
      </c>
      <c r="F20" t="str">
        <f ca="1">REPT( "  ", Aop!$C20) &amp; VLOOKUP( Aop!$A20, Aop!$A$2:$P$456, ID_Jezik + 6, 1)</f>
        <v xml:space="preserve">    2. Višegodišnji zasadi</v>
      </c>
      <c r="G20" s="285" t="s">
        <v>2602</v>
      </c>
      <c r="H20" s="275" t="s">
        <v>2572</v>
      </c>
      <c r="I20" s="285" t="s">
        <v>581</v>
      </c>
      <c r="J20" s="369" t="s">
        <v>1920</v>
      </c>
      <c r="K20" s="368" t="s">
        <v>2946</v>
      </c>
      <c r="L20" s="263" t="s">
        <v>2916</v>
      </c>
      <c r="M20" s="286" t="s">
        <v>2517</v>
      </c>
      <c r="N20" s="251" t="s">
        <v>53</v>
      </c>
      <c r="O20" s="10"/>
      <c r="P20" s="10"/>
    </row>
    <row r="21" spans="1:16">
      <c r="A21">
        <f t="shared" si="0"/>
        <v>20</v>
      </c>
      <c r="B21" t="s">
        <v>2897</v>
      </c>
      <c r="C21">
        <v>2</v>
      </c>
      <c r="D21" s="229">
        <v>20</v>
      </c>
      <c r="E21" s="2" t="str">
        <f ca="1">VLOOKUP( Aop!$A21, Aop!$A$2:$P$456, ID_Jezik +10, 1)</f>
        <v>052, 053 dio 059</v>
      </c>
      <c r="F21" t="str">
        <f ca="1">REPT( "  ", Aop!$C21) &amp; VLOOKUP( Aop!$A21, Aop!$A$2:$P$456, ID_Jezik + 6, 1)</f>
        <v xml:space="preserve">    3. Osnovno stado i ostala biološka sredstva</v>
      </c>
      <c r="G21" s="285" t="s">
        <v>2603</v>
      </c>
      <c r="H21" s="276" t="s">
        <v>2573</v>
      </c>
      <c r="I21" s="285" t="s">
        <v>582</v>
      </c>
      <c r="J21" s="369" t="s">
        <v>1921</v>
      </c>
      <c r="K21" s="368" t="s">
        <v>2947</v>
      </c>
      <c r="L21" s="263" t="s">
        <v>2917</v>
      </c>
      <c r="M21" s="286" t="s">
        <v>2518</v>
      </c>
      <c r="N21" s="251" t="s">
        <v>54</v>
      </c>
      <c r="O21" s="10"/>
      <c r="P21" s="10"/>
    </row>
    <row r="22" spans="1:16">
      <c r="A22">
        <f t="shared" si="0"/>
        <v>21</v>
      </c>
      <c r="B22" t="s">
        <v>2897</v>
      </c>
      <c r="C22">
        <v>2</v>
      </c>
      <c r="D22" s="229">
        <v>21</v>
      </c>
      <c r="E22" s="2" t="str">
        <f ca="1">VLOOKUP( Aop!$A22, Aop!$A$2:$P$456, ID_Jezik +10, 1)</f>
        <v>055, 056 i dio 059</v>
      </c>
      <c r="F22" t="str">
        <f ca="1">REPT( "  ", Aop!$C22) &amp; VLOOKUP( Aop!$A22, Aop!$A$2:$P$456, ID_Jezik + 6, 1)</f>
        <v xml:space="preserve">    4. Avansi i biološka sredstva u pripremi </v>
      </c>
      <c r="G22" s="285" t="s">
        <v>2604</v>
      </c>
      <c r="H22" s="275" t="s">
        <v>2574</v>
      </c>
      <c r="I22" s="285" t="s">
        <v>583</v>
      </c>
      <c r="J22" s="369" t="s">
        <v>1922</v>
      </c>
      <c r="K22" s="368" t="s">
        <v>2948</v>
      </c>
      <c r="L22" s="263" t="s">
        <v>2918</v>
      </c>
      <c r="M22" s="286" t="s">
        <v>2519</v>
      </c>
      <c r="N22" s="251" t="s">
        <v>55</v>
      </c>
      <c r="O22" s="10"/>
      <c r="P22" s="10"/>
    </row>
    <row r="23" spans="1:16" ht="12.75" customHeight="1">
      <c r="A23">
        <f t="shared" si="0"/>
        <v>22</v>
      </c>
      <c r="B23" t="s">
        <v>2897</v>
      </c>
      <c r="C23">
        <v>1</v>
      </c>
      <c r="D23" s="229">
        <v>22</v>
      </c>
      <c r="E23" s="2">
        <f ca="1">VLOOKUP( Aop!$A23, Aop!$A$2:$P$456, ID_Jezik +10, 1)</f>
        <v>6</v>
      </c>
      <c r="F23" t="str">
        <f ca="1">REPT( "  ", Aop!$C23) &amp; VLOOKUP( Aop!$A23, Aop!$A$2:$P$456, ID_Jezik + 6, 1)</f>
        <v xml:space="preserve">  VI  DUGOROČNI FINANSIJSKI PLASMANI (023+024+025+030+033)</v>
      </c>
      <c r="G23" s="276" t="s">
        <v>2605</v>
      </c>
      <c r="H23" s="276" t="s">
        <v>2546</v>
      </c>
      <c r="I23" s="285" t="s">
        <v>143</v>
      </c>
      <c r="J23" s="369" t="s">
        <v>1923</v>
      </c>
      <c r="K23" s="367">
        <v>6</v>
      </c>
      <c r="L23" s="263">
        <v>6</v>
      </c>
      <c r="M23" s="286">
        <v>6</v>
      </c>
      <c r="N23" s="261" t="s">
        <v>56</v>
      </c>
      <c r="O23" s="10">
        <v>1</v>
      </c>
      <c r="P23" s="10"/>
    </row>
    <row r="24" spans="1:16">
      <c r="A24">
        <f t="shared" si="0"/>
        <v>23</v>
      </c>
      <c r="B24" t="s">
        <v>2897</v>
      </c>
      <c r="C24">
        <v>2</v>
      </c>
      <c r="D24" s="229">
        <v>23</v>
      </c>
      <c r="E24" s="2" t="str">
        <f ca="1">VLOOKUP( Aop!$A24, Aop!$A$2:$P$456, ID_Jezik +10, 1)</f>
        <v>060, dio 069</v>
      </c>
      <c r="F24" t="str">
        <f ca="1">REPT( "  ", Aop!$C24) &amp; VLOOKUP( Aop!$A24, Aop!$A$2:$P$456, ID_Jezik + 6, 1)</f>
        <v xml:space="preserve">    1. Učešće u kapitalu zavisnih subjekata</v>
      </c>
      <c r="G24" s="285" t="s">
        <v>2606</v>
      </c>
      <c r="H24" s="275" t="s">
        <v>2575</v>
      </c>
      <c r="I24" s="285" t="s">
        <v>567</v>
      </c>
      <c r="J24" s="369" t="s">
        <v>1924</v>
      </c>
      <c r="K24" s="368" t="s">
        <v>2949</v>
      </c>
      <c r="L24" s="263" t="s">
        <v>2919</v>
      </c>
      <c r="M24" s="286" t="s">
        <v>2520</v>
      </c>
      <c r="N24" s="251" t="s">
        <v>57</v>
      </c>
      <c r="O24" s="10"/>
      <c r="P24" s="10"/>
    </row>
    <row r="25" spans="1:16" ht="12.75" customHeight="1">
      <c r="A25">
        <f t="shared" si="0"/>
        <v>24</v>
      </c>
      <c r="B25" t="s">
        <v>2897</v>
      </c>
      <c r="C25">
        <v>2</v>
      </c>
      <c r="D25" s="229">
        <v>24</v>
      </c>
      <c r="E25" s="2" t="str">
        <f ca="1">VLOOKUP( Aop!$A25, Aop!$A$2:$P$456, ID_Jezik +10, 1)</f>
        <v>061, dio 069</v>
      </c>
      <c r="F25" t="str">
        <f ca="1">REPT( "  ", Aop!$C25) &amp; VLOOKUP( Aop!$A25, Aop!$A$2:$P$456, ID_Jezik + 6, 1)</f>
        <v xml:space="preserve">    2. Učešće u kapitalu pridruženih subjekata i zajedničkih poduhvata</v>
      </c>
      <c r="G25" s="285" t="s">
        <v>2607</v>
      </c>
      <c r="H25" s="276" t="s">
        <v>2576</v>
      </c>
      <c r="I25" s="285" t="s">
        <v>568</v>
      </c>
      <c r="J25" s="369" t="s">
        <v>1925</v>
      </c>
      <c r="K25" s="368" t="s">
        <v>289</v>
      </c>
      <c r="L25" s="263" t="s">
        <v>2920</v>
      </c>
      <c r="M25" s="286" t="s">
        <v>290</v>
      </c>
      <c r="N25" s="251" t="s">
        <v>58</v>
      </c>
      <c r="O25" s="10"/>
      <c r="P25" s="10"/>
    </row>
    <row r="26" spans="1:16" ht="15" customHeight="1">
      <c r="A26">
        <f t="shared" si="0"/>
        <v>25</v>
      </c>
      <c r="B26" t="s">
        <v>2897</v>
      </c>
      <c r="C26">
        <v>2</v>
      </c>
      <c r="D26" s="229">
        <v>25</v>
      </c>
      <c r="E26" s="2" t="str">
        <f ca="1">VLOOKUP( Aop!$A26, Aop!$A$2:$P$456, ID_Jezik +10, 1)</f>
        <v>dio 06</v>
      </c>
      <c r="F26" t="str">
        <f ca="1">REPT( "  ", Aop!$C26) &amp; VLOOKUP( Aop!$A26, Aop!$A$2:$P$456, ID_Jezik + 6, 1)</f>
        <v xml:space="preserve">    3. Finansijska sredstva po amortizovanoj vrijednosti (026 do 029)</v>
      </c>
      <c r="G26" s="285" t="s">
        <v>2608</v>
      </c>
      <c r="H26" s="281" t="s">
        <v>2583</v>
      </c>
      <c r="I26" s="285" t="s">
        <v>569</v>
      </c>
      <c r="J26" s="369" t="s">
        <v>1926</v>
      </c>
      <c r="K26" s="368" t="s">
        <v>2950</v>
      </c>
      <c r="L26" s="263" t="s">
        <v>2921</v>
      </c>
      <c r="M26" s="286" t="s">
        <v>2521</v>
      </c>
      <c r="N26" s="251" t="s">
        <v>59</v>
      </c>
      <c r="O26" s="10">
        <v>1</v>
      </c>
      <c r="P26" s="10"/>
    </row>
    <row r="27" spans="1:16">
      <c r="A27">
        <f t="shared" si="0"/>
        <v>26</v>
      </c>
      <c r="B27" t="s">
        <v>2897</v>
      </c>
      <c r="C27">
        <v>3</v>
      </c>
      <c r="D27" s="229">
        <v>26</v>
      </c>
      <c r="E27" s="2" t="str">
        <f ca="1">VLOOKUP( Aop!$A27, Aop!$A$2:$P$456, ID_Jezik +10, 1)</f>
        <v>062, dio 069</v>
      </c>
      <c r="F27" t="str">
        <f ca="1">REPT( "  ", Aop!$C27) &amp; VLOOKUP( Aop!$A27, Aop!$A$2:$P$456, ID_Jezik + 6, 1)</f>
        <v xml:space="preserve">      3.1. Dugoročni krediti povezanim pravnim licima</v>
      </c>
      <c r="G27" s="285" t="s">
        <v>2609</v>
      </c>
      <c r="H27" s="276" t="s">
        <v>2577</v>
      </c>
      <c r="I27" s="285" t="s">
        <v>570</v>
      </c>
      <c r="J27" s="369" t="s">
        <v>1927</v>
      </c>
      <c r="K27" s="368" t="s">
        <v>2951</v>
      </c>
      <c r="L27" s="263" t="s">
        <v>2922</v>
      </c>
      <c r="M27" s="286" t="s">
        <v>2522</v>
      </c>
      <c r="N27" s="251" t="s">
        <v>60</v>
      </c>
      <c r="O27" s="10"/>
      <c r="P27" s="10"/>
    </row>
    <row r="28" spans="1:16">
      <c r="A28">
        <f t="shared" si="0"/>
        <v>27</v>
      </c>
      <c r="B28" t="s">
        <v>2897</v>
      </c>
      <c r="C28">
        <v>3</v>
      </c>
      <c r="D28" s="229">
        <v>27</v>
      </c>
      <c r="E28" s="2" t="str">
        <f ca="1">VLOOKUP( Aop!$A28, Aop!$A$2:$P$456, ID_Jezik +10, 1)</f>
        <v>063, dio 069</v>
      </c>
      <c r="F28" t="str">
        <f ca="1">REPT( "  ", Aop!$C28) &amp; VLOOKUP( Aop!$A28, Aop!$A$2:$P$456, ID_Jezik + 6, 1)</f>
        <v xml:space="preserve">      3.2. Dugoročni krediti u zemlji</v>
      </c>
      <c r="G28" s="285" t="s">
        <v>2610</v>
      </c>
      <c r="H28" s="275" t="s">
        <v>2580</v>
      </c>
      <c r="I28" s="285" t="s">
        <v>571</v>
      </c>
      <c r="J28" s="369" t="s">
        <v>1928</v>
      </c>
      <c r="K28" s="368" t="s">
        <v>2952</v>
      </c>
      <c r="L28" s="263" t="s">
        <v>2923</v>
      </c>
      <c r="M28" s="286" t="s">
        <v>2523</v>
      </c>
      <c r="N28" s="251" t="s">
        <v>61</v>
      </c>
      <c r="O28" s="10"/>
      <c r="P28" s="10"/>
    </row>
    <row r="29" spans="1:16">
      <c r="A29">
        <f t="shared" si="0"/>
        <v>28</v>
      </c>
      <c r="B29" t="s">
        <v>2897</v>
      </c>
      <c r="C29">
        <v>3</v>
      </c>
      <c r="D29" s="229">
        <v>28</v>
      </c>
      <c r="E29" s="2" t="str">
        <f ca="1">VLOOKUP( Aop!$A29, Aop!$A$2:$P$456, ID_Jezik +10, 1)</f>
        <v>064, dio 069</v>
      </c>
      <c r="F29" t="str">
        <f ca="1">REPT( "  ", Aop!$C29) &amp; VLOOKUP( Aop!$A29, Aop!$A$2:$P$456, ID_Jezik + 6, 1)</f>
        <v xml:space="preserve">      3.3. Dugoročni krediti u inostranstvu</v>
      </c>
      <c r="G29" s="285" t="s">
        <v>2611</v>
      </c>
      <c r="H29" s="276" t="s">
        <v>2578</v>
      </c>
      <c r="I29" s="285" t="s">
        <v>572</v>
      </c>
      <c r="J29" s="369" t="s">
        <v>1929</v>
      </c>
      <c r="K29" s="368" t="s">
        <v>2953</v>
      </c>
      <c r="L29" s="263" t="s">
        <v>2924</v>
      </c>
      <c r="M29" s="286" t="s">
        <v>2524</v>
      </c>
      <c r="N29" s="251" t="s">
        <v>62</v>
      </c>
      <c r="O29" s="10"/>
      <c r="P29" s="10"/>
    </row>
    <row r="30" spans="1:16" ht="12.75" customHeight="1">
      <c r="A30">
        <f t="shared" si="0"/>
        <v>29</v>
      </c>
      <c r="B30" t="s">
        <v>2897</v>
      </c>
      <c r="C30">
        <v>3</v>
      </c>
      <c r="D30" s="229">
        <v>29</v>
      </c>
      <c r="E30" s="2" t="str">
        <f ca="1">VLOOKUP( Aop!$A30, Aop!$A$2:$P$456, ID_Jezik +10, 1)</f>
        <v>065, dio 069</v>
      </c>
      <c r="F30" t="str">
        <f ca="1">REPT( "  ", Aop!$C30) &amp; VLOOKUP( Aop!$A30, Aop!$A$2:$P$456, ID_Jezik + 6, 1)</f>
        <v xml:space="preserve">      3.4. Ostala finansijska sredstva po amortizovanoj vrijednosti</v>
      </c>
      <c r="G30" s="285" t="s">
        <v>2612</v>
      </c>
      <c r="H30" s="275" t="s">
        <v>2579</v>
      </c>
      <c r="I30" s="285" t="s">
        <v>573</v>
      </c>
      <c r="J30" s="369" t="s">
        <v>1930</v>
      </c>
      <c r="K30" s="368" t="s">
        <v>2954</v>
      </c>
      <c r="L30" s="263" t="s">
        <v>2925</v>
      </c>
      <c r="M30" s="286" t="s">
        <v>2525</v>
      </c>
      <c r="N30" s="251" t="s">
        <v>63</v>
      </c>
      <c r="O30" s="10"/>
      <c r="P30" s="10"/>
    </row>
    <row r="31" spans="1:16" ht="15" customHeight="1">
      <c r="A31">
        <f t="shared" si="0"/>
        <v>30</v>
      </c>
      <c r="B31" t="s">
        <v>2897</v>
      </c>
      <c r="C31">
        <v>2</v>
      </c>
      <c r="D31" s="229">
        <v>30</v>
      </c>
      <c r="E31" s="2" t="str">
        <f ca="1">VLOOKUP( Aop!$A31, Aop!$A$2:$P$456, ID_Jezik +10, 1)</f>
        <v>dio 06</v>
      </c>
      <c r="F31" t="str">
        <f ca="1">REPT( "  ", Aop!$C31) &amp; VLOOKUP( Aop!$A31, Aop!$A$2:$P$456, ID_Jezik + 6, 1)</f>
        <v xml:space="preserve">    4. Finansijska sredstva po fer vrijednosti kroz ostali ukupan rezultat (031+032)</v>
      </c>
      <c r="G31" s="276" t="s">
        <v>2613</v>
      </c>
      <c r="H31" s="276" t="s">
        <v>2582</v>
      </c>
      <c r="I31" s="285" t="s">
        <v>1621</v>
      </c>
      <c r="J31" s="369" t="s">
        <v>1931</v>
      </c>
      <c r="K31" s="368" t="s">
        <v>2950</v>
      </c>
      <c r="L31" s="263" t="s">
        <v>2921</v>
      </c>
      <c r="M31" s="286" t="s">
        <v>2521</v>
      </c>
      <c r="N31" s="251" t="s">
        <v>59</v>
      </c>
      <c r="O31" s="10">
        <v>1</v>
      </c>
      <c r="P31" s="10"/>
    </row>
    <row r="32" spans="1:16">
      <c r="A32">
        <f t="shared" si="0"/>
        <v>31</v>
      </c>
      <c r="B32" t="s">
        <v>2897</v>
      </c>
      <c r="C32">
        <v>3</v>
      </c>
      <c r="D32" s="229">
        <v>31</v>
      </c>
      <c r="E32" s="2" t="str">
        <f ca="1">VLOOKUP( Aop!$A32, Aop!$A$2:$P$456, ID_Jezik +10, 1)</f>
        <v>066, dio 069</v>
      </c>
      <c r="F32" t="str">
        <f ca="1">REPT( "  ", Aop!$C32) &amp; VLOOKUP( Aop!$A32, Aop!$A$2:$P$456, ID_Jezik + 6, 1)</f>
        <v xml:space="preserve">      4.1. Vlasnički instrumenti</v>
      </c>
      <c r="G32" s="285" t="s">
        <v>2966</v>
      </c>
      <c r="H32" s="275" t="s">
        <v>2581</v>
      </c>
      <c r="I32" s="285" t="s">
        <v>574</v>
      </c>
      <c r="J32" s="369" t="s">
        <v>1932</v>
      </c>
      <c r="K32" s="368" t="s">
        <v>2955</v>
      </c>
      <c r="L32" s="263" t="s">
        <v>2926</v>
      </c>
      <c r="M32" s="286" t="s">
        <v>2526</v>
      </c>
      <c r="N32" s="251" t="s">
        <v>64</v>
      </c>
      <c r="O32" s="10"/>
      <c r="P32" s="10"/>
    </row>
    <row r="33" spans="1:16">
      <c r="A33">
        <f t="shared" si="0"/>
        <v>32</v>
      </c>
      <c r="B33" t="s">
        <v>2897</v>
      </c>
      <c r="C33">
        <v>3</v>
      </c>
      <c r="D33" s="229">
        <v>32</v>
      </c>
      <c r="E33" s="2" t="str">
        <f ca="1">VLOOKUP( Aop!$A33, Aop!$A$2:$P$456, ID_Jezik +10, 1)</f>
        <v>067, dio 069</v>
      </c>
      <c r="F33" t="str">
        <f ca="1">REPT( "  ", Aop!$C33) &amp; VLOOKUP( Aop!$A33, Aop!$A$2:$P$456, ID_Jezik + 6, 1)</f>
        <v xml:space="preserve">      4.2. Dužnički instrumenti</v>
      </c>
      <c r="G33" s="285" t="s">
        <v>2967</v>
      </c>
      <c r="H33" s="276" t="s">
        <v>2584</v>
      </c>
      <c r="I33" s="285" t="s">
        <v>575</v>
      </c>
      <c r="J33" s="369" t="s">
        <v>1933</v>
      </c>
      <c r="K33" s="368" t="s">
        <v>1330</v>
      </c>
      <c r="L33" s="263" t="s">
        <v>2927</v>
      </c>
      <c r="M33" s="286" t="s">
        <v>1331</v>
      </c>
      <c r="N33" s="251" t="s">
        <v>65</v>
      </c>
      <c r="O33" s="10"/>
      <c r="P33" s="10"/>
    </row>
    <row r="34" spans="1:16">
      <c r="A34">
        <f t="shared" si="0"/>
        <v>33</v>
      </c>
      <c r="B34" t="s">
        <v>2897</v>
      </c>
      <c r="C34">
        <v>2</v>
      </c>
      <c r="D34" s="229">
        <v>33</v>
      </c>
      <c r="E34" s="2" t="str">
        <f ca="1">VLOOKUP( Aop!$A34, Aop!$A$2:$P$456, ID_Jezik +10, 1)</f>
        <v>068, dio 069</v>
      </c>
      <c r="F34" t="str">
        <f ca="1">REPT( "  ", Aop!$C34) &amp; VLOOKUP( Aop!$A34, Aop!$A$2:$P$456, ID_Jezik + 6, 1)</f>
        <v xml:space="preserve">    5. Potraživanja po finansijskom lizingu</v>
      </c>
      <c r="G34" s="285" t="s">
        <v>2968</v>
      </c>
      <c r="H34" s="275" t="s">
        <v>2585</v>
      </c>
      <c r="I34" s="285" t="s">
        <v>576</v>
      </c>
      <c r="J34" s="369" t="s">
        <v>1934</v>
      </c>
      <c r="K34" s="368" t="s">
        <v>2956</v>
      </c>
      <c r="L34" s="263" t="s">
        <v>2928</v>
      </c>
      <c r="M34" s="286" t="s">
        <v>2527</v>
      </c>
      <c r="N34" s="251" t="s">
        <v>66</v>
      </c>
      <c r="O34" s="10"/>
      <c r="P34" s="10"/>
    </row>
    <row r="35" spans="1:16">
      <c r="A35">
        <f t="shared" si="0"/>
        <v>34</v>
      </c>
      <c r="B35" t="s">
        <v>2897</v>
      </c>
      <c r="C35">
        <v>1</v>
      </c>
      <c r="D35" s="229">
        <v>34</v>
      </c>
      <c r="E35" s="2" t="str">
        <f ca="1">VLOOKUP( Aop!$A35, Aop!$A$2:$P$456, ID_Jezik +10, 1)</f>
        <v>07 i 08</v>
      </c>
      <c r="F35" t="str">
        <f ca="1">REPT( "  ", Aop!$C35) &amp; VLOOKUP( Aop!$A35, Aop!$A$2:$P$456, ID_Jezik + 6, 1)</f>
        <v xml:space="preserve">  VII OSTALA DUGOROČNA SREDSTVA I RAZGRANIČENJA</v>
      </c>
      <c r="G35" s="276" t="s">
        <v>12</v>
      </c>
      <c r="H35" s="276" t="s">
        <v>2908</v>
      </c>
      <c r="I35" s="285" t="s">
        <v>2539</v>
      </c>
      <c r="J35" s="369" t="s">
        <v>1935</v>
      </c>
      <c r="K35" s="368" t="s">
        <v>2957</v>
      </c>
      <c r="L35" s="263" t="s">
        <v>2929</v>
      </c>
      <c r="M35" s="286" t="s">
        <v>2528</v>
      </c>
      <c r="N35" s="251" t="s">
        <v>2929</v>
      </c>
      <c r="O35" s="10"/>
      <c r="P35" s="10"/>
    </row>
    <row r="36" spans="1:16">
      <c r="A36">
        <f t="shared" si="0"/>
        <v>35</v>
      </c>
      <c r="B36" t="s">
        <v>2897</v>
      </c>
      <c r="C36">
        <v>1</v>
      </c>
      <c r="D36" s="229">
        <v>35</v>
      </c>
      <c r="E36" s="2">
        <f ca="1">VLOOKUP( Aop!$A36, Aop!$A$2:$P$456, ID_Jezik +10, 1)</f>
        <v>90</v>
      </c>
      <c r="F36" t="str">
        <f ca="1">REPT( "  ", Aop!$C36) &amp; VLOOKUP( Aop!$A36, Aop!$A$2:$P$456, ID_Jezik + 6, 1)</f>
        <v xml:space="preserve">  B. ODLOŽENA PORESKA SREDSTVA</v>
      </c>
      <c r="G36" s="276" t="s">
        <v>2614</v>
      </c>
      <c r="H36" s="275" t="s">
        <v>2909</v>
      </c>
      <c r="I36" s="285" t="s">
        <v>146</v>
      </c>
      <c r="J36" s="369" t="s">
        <v>1936</v>
      </c>
      <c r="K36" s="368">
        <v>90</v>
      </c>
      <c r="L36" s="264">
        <v>90</v>
      </c>
      <c r="M36" s="286">
        <v>90</v>
      </c>
      <c r="N36" s="261" t="s">
        <v>67</v>
      </c>
      <c r="O36" s="10"/>
      <c r="P36" s="10"/>
    </row>
    <row r="37" spans="1:16">
      <c r="A37">
        <f t="shared" si="0"/>
        <v>36</v>
      </c>
      <c r="B37" t="s">
        <v>2897</v>
      </c>
      <c r="C37">
        <v>1</v>
      </c>
      <c r="D37" s="229">
        <v>36</v>
      </c>
      <c r="E37" s="2" t="str">
        <f ca="1">VLOOKUP( Aop!$A37, Aop!$A$2:$P$456, ID_Jezik +10, 1)</f>
        <v xml:space="preserve"> </v>
      </c>
      <c r="F37" t="str">
        <f ca="1">REPT( "  ", Aop!$C37) &amp; VLOOKUP( Aop!$A37, Aop!$A$2:$P$456, ID_Jezik + 6, 1)</f>
        <v xml:space="preserve">  V. TEKUĆA SREDSTVA (037+044)</v>
      </c>
      <c r="G37" s="276" t="s">
        <v>2615</v>
      </c>
      <c r="H37" s="276" t="s">
        <v>2910</v>
      </c>
      <c r="I37" s="285" t="s">
        <v>147</v>
      </c>
      <c r="J37" s="369" t="s">
        <v>1937</v>
      </c>
      <c r="K37" s="368" t="s">
        <v>2912</v>
      </c>
      <c r="L37" s="264" t="s">
        <v>2912</v>
      </c>
      <c r="M37" s="286" t="s">
        <v>2912</v>
      </c>
      <c r="N37" s="251"/>
      <c r="O37" s="10">
        <v>1</v>
      </c>
      <c r="P37" s="10"/>
    </row>
    <row r="38" spans="1:16" ht="15" customHeight="1">
      <c r="A38">
        <f t="shared" si="0"/>
        <v>37</v>
      </c>
      <c r="B38" t="s">
        <v>2897</v>
      </c>
      <c r="C38">
        <v>1</v>
      </c>
      <c r="D38" s="229">
        <v>37</v>
      </c>
      <c r="E38" s="2" t="str">
        <f ca="1">VLOOKUP( Aop!$A38, Aop!$A$2:$P$456, ID_Jezik +10, 1)</f>
        <v>10 do 15</v>
      </c>
      <c r="F38" t="str">
        <f ca="1">REPT( "  ", Aop!$C38) &amp; VLOOKUP( Aop!$A38, Aop!$A$2:$P$456, ID_Jezik + 6, 1)</f>
        <v xml:space="preserve">  I   ZALIHE, STALNA SREDSTVA NAMIJENJENA PRODAJI I SREDSTVA POSLOVANJA KOJE SE OBUSTAVLJA (038 do 043)</v>
      </c>
      <c r="G38" s="276" t="s">
        <v>1365</v>
      </c>
      <c r="H38" s="275" t="s">
        <v>2551</v>
      </c>
      <c r="I38" s="285" t="s">
        <v>148</v>
      </c>
      <c r="J38" s="369" t="s">
        <v>1938</v>
      </c>
      <c r="K38" s="368" t="s">
        <v>1475</v>
      </c>
      <c r="L38" s="263" t="s">
        <v>1984</v>
      </c>
      <c r="M38" s="286" t="s">
        <v>1449</v>
      </c>
      <c r="N38" s="251" t="s">
        <v>1984</v>
      </c>
      <c r="O38" s="10">
        <v>1</v>
      </c>
      <c r="P38" s="10"/>
    </row>
    <row r="39" spans="1:16">
      <c r="A39">
        <f t="shared" si="0"/>
        <v>38</v>
      </c>
      <c r="B39" t="s">
        <v>2897</v>
      </c>
      <c r="C39">
        <v>2</v>
      </c>
      <c r="D39" s="229">
        <v>38</v>
      </c>
      <c r="E39" s="2" t="str">
        <f ca="1">VLOOKUP( Aop!$A39, Aop!$A$2:$P$456, ID_Jezik +10, 1)</f>
        <v>100 do 109</v>
      </c>
      <c r="F39" t="str">
        <f ca="1">REPT( "  ", Aop!$C39) &amp; VLOOKUP( Aop!$A39, Aop!$A$2:$P$456, ID_Jezik + 6, 1)</f>
        <v xml:space="preserve">    1. Zalihe materijala</v>
      </c>
      <c r="G39" s="285" t="s">
        <v>1485</v>
      </c>
      <c r="H39" s="276" t="s">
        <v>2555</v>
      </c>
      <c r="I39" s="285" t="s">
        <v>1622</v>
      </c>
      <c r="J39" s="369" t="s">
        <v>1939</v>
      </c>
      <c r="K39" s="368" t="s">
        <v>1484</v>
      </c>
      <c r="L39" s="263" t="s">
        <v>1985</v>
      </c>
      <c r="M39" s="286" t="s">
        <v>1450</v>
      </c>
      <c r="N39" s="251" t="s">
        <v>1985</v>
      </c>
      <c r="O39" s="10"/>
      <c r="P39" s="10"/>
    </row>
    <row r="40" spans="1:16" ht="12.75" customHeight="1">
      <c r="A40">
        <f t="shared" si="0"/>
        <v>39</v>
      </c>
      <c r="B40" t="s">
        <v>2897</v>
      </c>
      <c r="C40">
        <v>2</v>
      </c>
      <c r="D40" s="229">
        <v>39</v>
      </c>
      <c r="E40" s="2" t="str">
        <f ca="1">VLOOKUP( Aop!$A40, Aop!$A$2:$P$456, ID_Jezik +10, 1)</f>
        <v>110 do 119</v>
      </c>
      <c r="F40" t="str">
        <f ca="1">REPT( "  ", Aop!$C40) &amp; VLOOKUP( Aop!$A40, Aop!$A$2:$P$456, ID_Jezik + 6, 1)</f>
        <v xml:space="preserve">    2. Zalihe nedovršene proizvodnje, poluproizvoda i nedovršenih usluga</v>
      </c>
      <c r="G40" s="285" t="s">
        <v>1486</v>
      </c>
      <c r="H40" s="275" t="s">
        <v>2556</v>
      </c>
      <c r="I40" s="285" t="s">
        <v>1623</v>
      </c>
      <c r="J40" s="369" t="s">
        <v>633</v>
      </c>
      <c r="K40" s="368" t="s">
        <v>1986</v>
      </c>
      <c r="L40" s="263" t="s">
        <v>1987</v>
      </c>
      <c r="M40" s="286" t="s">
        <v>1988</v>
      </c>
      <c r="N40" s="251" t="s">
        <v>1987</v>
      </c>
      <c r="O40" s="10"/>
      <c r="P40" s="10"/>
    </row>
    <row r="41" spans="1:16">
      <c r="A41">
        <f t="shared" si="0"/>
        <v>40</v>
      </c>
      <c r="B41" t="s">
        <v>2897</v>
      </c>
      <c r="C41">
        <v>2</v>
      </c>
      <c r="D41" s="229">
        <v>40</v>
      </c>
      <c r="E41" s="2" t="str">
        <f ca="1">VLOOKUP( Aop!$A41, Aop!$A$2:$P$456, ID_Jezik +10, 1)</f>
        <v>120 do 129</v>
      </c>
      <c r="F41" t="str">
        <f ca="1">REPT( "  ", Aop!$C41) &amp; VLOOKUP( Aop!$A41, Aop!$A$2:$P$456, ID_Jezik + 6, 1)</f>
        <v xml:space="preserve">    3. Zalihe gotovih proizvoda</v>
      </c>
      <c r="G41" s="285" t="s">
        <v>1487</v>
      </c>
      <c r="H41" s="276" t="s">
        <v>2557</v>
      </c>
      <c r="I41" s="285" t="s">
        <v>1624</v>
      </c>
      <c r="J41" s="369" t="s">
        <v>634</v>
      </c>
      <c r="K41" s="368" t="s">
        <v>1989</v>
      </c>
      <c r="L41" s="263" t="s">
        <v>1990</v>
      </c>
      <c r="M41" s="286" t="s">
        <v>1991</v>
      </c>
      <c r="N41" s="251" t="s">
        <v>1990</v>
      </c>
      <c r="O41" s="10"/>
      <c r="P41" s="10"/>
    </row>
    <row r="42" spans="1:16">
      <c r="A42">
        <f t="shared" si="0"/>
        <v>41</v>
      </c>
      <c r="B42" t="s">
        <v>2897</v>
      </c>
      <c r="C42">
        <v>2</v>
      </c>
      <c r="D42" s="229">
        <v>41</v>
      </c>
      <c r="E42" s="2" t="str">
        <f ca="1">VLOOKUP( Aop!$A42, Aop!$A$2:$P$456, ID_Jezik +10, 1)</f>
        <v>130 do 139</v>
      </c>
      <c r="F42" t="str">
        <f ca="1">REPT( "  ", Aop!$C42) &amp; VLOOKUP( Aop!$A42, Aop!$A$2:$P$456, ID_Jezik + 6, 1)</f>
        <v xml:space="preserve">    4. Zalihe robe</v>
      </c>
      <c r="G42" s="285" t="s">
        <v>1489</v>
      </c>
      <c r="H42" s="275" t="s">
        <v>2558</v>
      </c>
      <c r="I42" s="285" t="s">
        <v>1625</v>
      </c>
      <c r="J42" s="369" t="s">
        <v>635</v>
      </c>
      <c r="K42" s="368" t="s">
        <v>1488</v>
      </c>
      <c r="L42" s="263" t="s">
        <v>1992</v>
      </c>
      <c r="M42" s="286" t="s">
        <v>1451</v>
      </c>
      <c r="N42" s="251" t="s">
        <v>1992</v>
      </c>
      <c r="O42" s="10"/>
      <c r="P42" s="10"/>
    </row>
    <row r="43" spans="1:16" ht="12.75" customHeight="1">
      <c r="A43">
        <f t="shared" si="0"/>
        <v>42</v>
      </c>
      <c r="B43" t="s">
        <v>2897</v>
      </c>
      <c r="C43">
        <v>2</v>
      </c>
      <c r="D43" s="229">
        <v>42</v>
      </c>
      <c r="E43" s="2" t="str">
        <f ca="1">VLOOKUP( Aop!$A43, Aop!$A$2:$P$456, ID_Jezik +10, 1)</f>
        <v>140 do 149</v>
      </c>
      <c r="F43" t="str">
        <f ca="1">REPT( "  ", Aop!$C43) &amp; VLOOKUP( Aop!$A43, Aop!$A$2:$P$456, ID_Jezik + 6, 1)</f>
        <v xml:space="preserve">    5. Stalna sredstva namijenjena prodaji i sredstva poslovanja koje se obustavlja</v>
      </c>
      <c r="G43" s="285" t="s">
        <v>2616</v>
      </c>
      <c r="H43" s="276" t="s">
        <v>2559</v>
      </c>
      <c r="I43" s="285" t="s">
        <v>1626</v>
      </c>
      <c r="J43" s="369" t="s">
        <v>636</v>
      </c>
      <c r="K43" s="368" t="s">
        <v>1490</v>
      </c>
      <c r="L43" s="263" t="s">
        <v>1993</v>
      </c>
      <c r="M43" s="286" t="s">
        <v>1452</v>
      </c>
      <c r="N43" s="251" t="s">
        <v>1993</v>
      </c>
      <c r="O43" s="10"/>
      <c r="P43" s="10"/>
    </row>
    <row r="44" spans="1:16">
      <c r="A44">
        <f t="shared" si="0"/>
        <v>43</v>
      </c>
      <c r="B44" t="s">
        <v>2897</v>
      </c>
      <c r="C44">
        <v>2</v>
      </c>
      <c r="D44" s="229">
        <v>43</v>
      </c>
      <c r="E44" s="2" t="str">
        <f ca="1">VLOOKUP( Aop!$A44, Aop!$A$2:$P$456, ID_Jezik +10, 1)</f>
        <v>150 do 159</v>
      </c>
      <c r="F44" t="str">
        <f ca="1">REPT( "  ", Aop!$C44) &amp; VLOOKUP( Aop!$A44, Aop!$A$2:$P$456, ID_Jezik + 6, 1)</f>
        <v xml:space="preserve">    6. Dati avansi</v>
      </c>
      <c r="G44" s="285" t="s">
        <v>1476</v>
      </c>
      <c r="H44" s="275" t="s">
        <v>2560</v>
      </c>
      <c r="I44" s="285" t="s">
        <v>1627</v>
      </c>
      <c r="J44" s="369" t="s">
        <v>637</v>
      </c>
      <c r="K44" s="368" t="s">
        <v>1491</v>
      </c>
      <c r="L44" s="263" t="s">
        <v>1994</v>
      </c>
      <c r="M44" s="286" t="s">
        <v>1453</v>
      </c>
      <c r="N44" s="251" t="s">
        <v>1994</v>
      </c>
      <c r="O44" s="10"/>
      <c r="P44" s="10"/>
    </row>
    <row r="45" spans="1:16" ht="15" customHeight="1">
      <c r="A45">
        <f t="shared" si="0"/>
        <v>44</v>
      </c>
      <c r="B45" t="s">
        <v>2897</v>
      </c>
      <c r="C45">
        <v>1</v>
      </c>
      <c r="D45" s="229">
        <v>44</v>
      </c>
      <c r="E45" s="2" t="str">
        <f ca="1">VLOOKUP( Aop!$A45, Aop!$A$2:$P$456, ID_Jezik +10, 1)</f>
        <v xml:space="preserve"> </v>
      </c>
      <c r="F45" t="str">
        <f ca="1">REPT( "  ", Aop!$C45) &amp; VLOOKUP( Aop!$A45, Aop!$A$2:$P$456, ID_Jezik + 6, 1)</f>
        <v xml:space="preserve">  II  KRATKOROČNA SREDSTVA IZUZEV ZALIHA I STALNIH SREDSTAVA NAMIJENJENIH PRODAJI (045+052+061+064+065)</v>
      </c>
      <c r="G45" s="285" t="s">
        <v>621</v>
      </c>
      <c r="H45" s="276" t="s">
        <v>2550</v>
      </c>
      <c r="I45" s="285" t="s">
        <v>2540</v>
      </c>
      <c r="J45" s="285" t="s">
        <v>638</v>
      </c>
      <c r="K45" s="264" t="s">
        <v>2912</v>
      </c>
      <c r="L45" s="263"/>
      <c r="M45" s="286" t="s">
        <v>2912</v>
      </c>
      <c r="N45" s="251"/>
      <c r="O45" s="10">
        <v>1</v>
      </c>
      <c r="P45" s="10"/>
    </row>
    <row r="46" spans="1:16">
      <c r="A46">
        <f t="shared" si="0"/>
        <v>45</v>
      </c>
      <c r="B46" t="s">
        <v>2897</v>
      </c>
      <c r="C46">
        <v>2</v>
      </c>
      <c r="D46" s="229">
        <v>45</v>
      </c>
      <c r="E46" s="2" t="str">
        <f ca="1">VLOOKUP( Aop!$A46, Aop!$A$2:$P$456, ID_Jezik +10, 1)</f>
        <v xml:space="preserve"> </v>
      </c>
      <c r="F46" t="str">
        <f ca="1">REPT( "  ", Aop!$C46) &amp; VLOOKUP( Aop!$A46, Aop!$A$2:$P$456, ID_Jezik + 6, 1)</f>
        <v xml:space="preserve">    1. Kratkoročna potraživanja (046 do 051)</v>
      </c>
      <c r="G46" s="285" t="s">
        <v>2969</v>
      </c>
      <c r="H46" s="275" t="s">
        <v>2554</v>
      </c>
      <c r="I46" s="285" t="s">
        <v>1628</v>
      </c>
      <c r="J46" s="369" t="s">
        <v>639</v>
      </c>
      <c r="K46" s="368" t="s">
        <v>2912</v>
      </c>
      <c r="L46" s="263"/>
      <c r="M46" s="286" t="s">
        <v>2912</v>
      </c>
      <c r="N46" s="251"/>
      <c r="O46" s="10"/>
      <c r="P46" s="10"/>
    </row>
    <row r="47" spans="1:16">
      <c r="A47">
        <f t="shared" si="0"/>
        <v>46</v>
      </c>
      <c r="B47" t="s">
        <v>2897</v>
      </c>
      <c r="C47">
        <v>3</v>
      </c>
      <c r="D47" s="229">
        <v>46</v>
      </c>
      <c r="E47" s="2" t="str">
        <f ca="1">VLOOKUP( Aop!$A47, Aop!$A$2:$P$456, ID_Jezik +10, 1)</f>
        <v>200, dio 209</v>
      </c>
      <c r="F47" t="str">
        <f ca="1">REPT( "  ", Aop!$C47) &amp; VLOOKUP( Aop!$A47, Aop!$A$2:$P$456, ID_Jezik + 6, 1)</f>
        <v xml:space="preserve">      1.1. Kupci - povezana pravna lica</v>
      </c>
      <c r="G47" s="285" t="s">
        <v>2970</v>
      </c>
      <c r="H47" s="276" t="s">
        <v>190</v>
      </c>
      <c r="I47" s="285" t="s">
        <v>1629</v>
      </c>
      <c r="J47" s="369" t="s">
        <v>739</v>
      </c>
      <c r="K47" s="368" t="s">
        <v>1492</v>
      </c>
      <c r="L47" s="263" t="s">
        <v>1995</v>
      </c>
      <c r="M47" s="286" t="s">
        <v>1410</v>
      </c>
      <c r="N47" s="251" t="s">
        <v>68</v>
      </c>
      <c r="O47" s="10"/>
      <c r="P47" s="10"/>
    </row>
    <row r="48" spans="1:16">
      <c r="A48">
        <f t="shared" si="0"/>
        <v>47</v>
      </c>
      <c r="B48" t="s">
        <v>2897</v>
      </c>
      <c r="C48">
        <v>3</v>
      </c>
      <c r="D48" s="229">
        <v>47</v>
      </c>
      <c r="E48" s="2" t="str">
        <f ca="1">VLOOKUP( Aop!$A48, Aop!$A$2:$P$456, ID_Jezik +10, 1)</f>
        <v>201, 202, 203, dio 209</v>
      </c>
      <c r="F48" t="str">
        <f ca="1">REPT( "  ", Aop!$C48) &amp; VLOOKUP( Aop!$A48, Aop!$A$2:$P$456, ID_Jezik + 6, 1)</f>
        <v xml:space="preserve">      1.2. Kupci u zemlji</v>
      </c>
      <c r="G48" s="285" t="s">
        <v>2971</v>
      </c>
      <c r="H48" s="275" t="s">
        <v>187</v>
      </c>
      <c r="I48" s="285" t="s">
        <v>1630</v>
      </c>
      <c r="J48" s="369" t="s">
        <v>740</v>
      </c>
      <c r="K48" s="368" t="s">
        <v>1996</v>
      </c>
      <c r="L48" s="263" t="s">
        <v>2930</v>
      </c>
      <c r="M48" s="286" t="s">
        <v>1997</v>
      </c>
      <c r="N48" s="251" t="s">
        <v>69</v>
      </c>
      <c r="O48" s="10"/>
      <c r="P48" s="10"/>
    </row>
    <row r="49" spans="1:16">
      <c r="A49">
        <f t="shared" si="0"/>
        <v>48</v>
      </c>
      <c r="B49" t="s">
        <v>2897</v>
      </c>
      <c r="C49">
        <v>3</v>
      </c>
      <c r="D49" s="229">
        <v>48</v>
      </c>
      <c r="E49" s="2" t="str">
        <f ca="1">VLOOKUP( Aop!$A49, Aop!$A$2:$P$456, ID_Jezik +10, 1)</f>
        <v>204, dio 209</v>
      </c>
      <c r="F49" t="str">
        <f ca="1">REPT( "  ", Aop!$C49) &amp; VLOOKUP( Aop!$A49, Aop!$A$2:$P$456, ID_Jezik + 6, 1)</f>
        <v xml:space="preserve">      1.3. Kupci iz inostranstva</v>
      </c>
      <c r="G49" s="285" t="s">
        <v>2972</v>
      </c>
      <c r="H49" s="276" t="s">
        <v>188</v>
      </c>
      <c r="I49" s="285" t="s">
        <v>1631</v>
      </c>
      <c r="J49" s="369" t="s">
        <v>741</v>
      </c>
      <c r="K49" s="368" t="s">
        <v>1998</v>
      </c>
      <c r="L49" s="263" t="s">
        <v>1999</v>
      </c>
      <c r="M49" s="286" t="s">
        <v>2000</v>
      </c>
      <c r="N49" s="251" t="s">
        <v>70</v>
      </c>
      <c r="O49" s="10"/>
      <c r="P49" s="10"/>
    </row>
    <row r="50" spans="1:16">
      <c r="A50">
        <f t="shared" si="0"/>
        <v>49</v>
      </c>
      <c r="B50" t="s">
        <v>2897</v>
      </c>
      <c r="C50">
        <v>3</v>
      </c>
      <c r="D50" s="229">
        <v>49</v>
      </c>
      <c r="E50" s="2" t="str">
        <f ca="1">VLOOKUP( Aop!$A50, Aop!$A$2:$P$456, ID_Jezik +10, 1)</f>
        <v>grupa 21, osim 214</v>
      </c>
      <c r="F50" t="str">
        <f ca="1">REPT( "  ", Aop!$C50) &amp; VLOOKUP( Aop!$A50, Aop!$A$2:$P$456, ID_Jezik + 6, 1)</f>
        <v xml:space="preserve">      1.4.Potraživanja iz specifičnih poslova</v>
      </c>
      <c r="G50" s="285" t="s">
        <v>2973</v>
      </c>
      <c r="H50" s="275" t="s">
        <v>189</v>
      </c>
      <c r="I50" s="285" t="s">
        <v>1632</v>
      </c>
      <c r="J50" s="369" t="s">
        <v>742</v>
      </c>
      <c r="K50" s="368" t="s">
        <v>2958</v>
      </c>
      <c r="L50" s="263" t="s">
        <v>2931</v>
      </c>
      <c r="M50" s="286" t="s">
        <v>2529</v>
      </c>
      <c r="N50" s="251" t="s">
        <v>71</v>
      </c>
      <c r="O50" s="10"/>
      <c r="P50" s="10"/>
    </row>
    <row r="51" spans="1:16">
      <c r="A51">
        <f t="shared" si="0"/>
        <v>50</v>
      </c>
      <c r="B51" t="s">
        <v>2897</v>
      </c>
      <c r="C51">
        <v>3</v>
      </c>
      <c r="D51" s="229">
        <v>50</v>
      </c>
      <c r="E51" s="2" t="str">
        <f ca="1">VLOOKUP( Aop!$A51, Aop!$A$2:$P$456, ID_Jezik +10, 1)</f>
        <v>grupa 22, osim 224</v>
      </c>
      <c r="F51" t="str">
        <f ca="1">REPT( "  ", Aop!$C51) &amp; VLOOKUP( Aop!$A51, Aop!$A$2:$P$456, ID_Jezik + 6, 1)</f>
        <v xml:space="preserve">      1.5. Ostala kratkoročna potraživanja</v>
      </c>
      <c r="G51" s="285" t="s">
        <v>2974</v>
      </c>
      <c r="H51" s="276" t="s">
        <v>191</v>
      </c>
      <c r="I51" s="285" t="s">
        <v>1633</v>
      </c>
      <c r="J51" s="369" t="s">
        <v>743</v>
      </c>
      <c r="K51" s="368" t="s">
        <v>2959</v>
      </c>
      <c r="L51" s="263" t="s">
        <v>2932</v>
      </c>
      <c r="M51" s="286" t="s">
        <v>2530</v>
      </c>
      <c r="N51" s="251" t="s">
        <v>72</v>
      </c>
      <c r="O51" s="10"/>
      <c r="P51" s="10"/>
    </row>
    <row r="52" spans="1:16">
      <c r="A52">
        <f t="shared" si="0"/>
        <v>51</v>
      </c>
      <c r="B52" t="s">
        <v>2897</v>
      </c>
      <c r="C52">
        <v>3</v>
      </c>
      <c r="D52" s="229">
        <v>51</v>
      </c>
      <c r="E52" s="2">
        <f ca="1">VLOOKUP( Aop!$A52, Aop!$A$2:$P$456, ID_Jezik +10, 1)</f>
        <v>224</v>
      </c>
      <c r="F52" t="str">
        <f ca="1">REPT( "  ", Aop!$C52) &amp; VLOOKUP( Aop!$A52, Aop!$A$2:$P$456, ID_Jezik + 6, 1)</f>
        <v xml:space="preserve">      1.6. Potraživanja za više plaćen porez na dobit</v>
      </c>
      <c r="G52" s="285" t="s">
        <v>2975</v>
      </c>
      <c r="H52" s="275" t="s">
        <v>192</v>
      </c>
      <c r="I52" s="285" t="s">
        <v>1634</v>
      </c>
      <c r="J52" s="369" t="s">
        <v>744</v>
      </c>
      <c r="K52" s="368">
        <v>224</v>
      </c>
      <c r="L52" s="263">
        <v>224</v>
      </c>
      <c r="M52" s="286">
        <v>224</v>
      </c>
      <c r="N52" s="251">
        <v>224</v>
      </c>
      <c r="O52" s="10"/>
      <c r="P52" s="10"/>
    </row>
    <row r="53" spans="1:16" ht="15" customHeight="1">
      <c r="A53">
        <f t="shared" si="0"/>
        <v>52</v>
      </c>
      <c r="B53" t="s">
        <v>2897</v>
      </c>
      <c r="C53">
        <v>2</v>
      </c>
      <c r="D53" s="229">
        <v>52</v>
      </c>
      <c r="E53" s="2" t="str">
        <f ca="1">VLOOKUP( Aop!$A53, Aop!$A$2:$P$456, ID_Jezik +10, 1)</f>
        <v xml:space="preserve"> </v>
      </c>
      <c r="F53" t="str">
        <f ca="1">REPT( "  ", Aop!$C53) &amp; VLOOKUP( Aop!$A53, Aop!$A$2:$P$456, ID_Jezik + 6, 1)</f>
        <v xml:space="preserve">    2. Kratkoročni finansijski plasmani ( 053 + 058 + 059 + 060)</v>
      </c>
      <c r="G53" s="285" t="s">
        <v>2976</v>
      </c>
      <c r="H53" s="276" t="s">
        <v>2911</v>
      </c>
      <c r="I53" s="285" t="s">
        <v>2541</v>
      </c>
      <c r="J53" s="369" t="s">
        <v>640</v>
      </c>
      <c r="K53" s="368" t="s">
        <v>2912</v>
      </c>
      <c r="L53" s="263"/>
      <c r="M53" s="286" t="s">
        <v>2912</v>
      </c>
      <c r="N53" s="251"/>
      <c r="O53" s="10">
        <v>1</v>
      </c>
      <c r="P53" s="10"/>
    </row>
    <row r="54" spans="1:16" ht="12.75" customHeight="1">
      <c r="A54">
        <f t="shared" si="0"/>
        <v>53</v>
      </c>
      <c r="B54" t="s">
        <v>2897</v>
      </c>
      <c r="C54">
        <v>3</v>
      </c>
      <c r="D54" s="229">
        <v>53</v>
      </c>
      <c r="E54" s="2" t="str">
        <f ca="1">VLOOKUP( Aop!$A54, Aop!$A$2:$P$456, ID_Jezik +10, 1)</f>
        <v xml:space="preserve"> </v>
      </c>
      <c r="F54" t="str">
        <f ca="1">REPT( "  ", Aop!$C54) &amp; VLOOKUP( Aop!$A54, Aop!$A$2:$P$456, ID_Jezik + 6, 1)</f>
        <v xml:space="preserve">      2.1. Finansijska sredstva po amortizovanoj vrijednosti (054 do 057)</v>
      </c>
      <c r="G54" s="285" t="s">
        <v>1374</v>
      </c>
      <c r="H54" s="275" t="s">
        <v>185</v>
      </c>
      <c r="I54" s="285" t="s">
        <v>1635</v>
      </c>
      <c r="J54" s="369" t="s">
        <v>745</v>
      </c>
      <c r="K54" s="368" t="s">
        <v>2912</v>
      </c>
      <c r="L54" s="263"/>
      <c r="M54" s="286" t="s">
        <v>2912</v>
      </c>
      <c r="N54" s="251"/>
      <c r="O54" s="10">
        <v>1</v>
      </c>
      <c r="P54" s="10"/>
    </row>
    <row r="55" spans="1:16">
      <c r="A55">
        <f t="shared" si="0"/>
        <v>54</v>
      </c>
      <c r="B55" t="s">
        <v>2897</v>
      </c>
      <c r="C55">
        <v>4</v>
      </c>
      <c r="D55" s="229">
        <v>54</v>
      </c>
      <c r="E55" s="2" t="str">
        <f ca="1">VLOOKUP( Aop!$A55, Aop!$A$2:$P$456, ID_Jezik +10, 1)</f>
        <v>230, dio 238</v>
      </c>
      <c r="F55" t="str">
        <f ca="1">REPT( "  ", Aop!$C55) &amp; VLOOKUP( Aop!$A55, Aop!$A$2:$P$456, ID_Jezik + 6, 1)</f>
        <v xml:space="preserve">        a) Kratkoročni krediti povezanim pravnim licima</v>
      </c>
      <c r="G55" s="285" t="s">
        <v>1494</v>
      </c>
      <c r="H55" s="276" t="s">
        <v>182</v>
      </c>
      <c r="I55" s="285" t="s">
        <v>1636</v>
      </c>
      <c r="J55" s="369" t="s">
        <v>641</v>
      </c>
      <c r="K55" s="368" t="s">
        <v>2960</v>
      </c>
      <c r="L55" s="263" t="s">
        <v>2933</v>
      </c>
      <c r="M55" s="286" t="s">
        <v>2531</v>
      </c>
      <c r="N55" s="251" t="s">
        <v>73</v>
      </c>
      <c r="O55" s="10"/>
      <c r="P55" s="10"/>
    </row>
    <row r="56" spans="1:16">
      <c r="A56">
        <f t="shared" si="0"/>
        <v>55</v>
      </c>
      <c r="B56" t="s">
        <v>2897</v>
      </c>
      <c r="C56">
        <v>4</v>
      </c>
      <c r="D56" s="229">
        <v>55</v>
      </c>
      <c r="E56" s="2" t="str">
        <f ca="1">VLOOKUP( Aop!$A56, Aop!$A$2:$P$456, ID_Jezik +10, 1)</f>
        <v>231, dio 238</v>
      </c>
      <c r="F56" t="str">
        <f ca="1">REPT( "  ", Aop!$C56) &amp; VLOOKUP( Aop!$A56, Aop!$A$2:$P$456, ID_Jezik + 6, 1)</f>
        <v xml:space="preserve">        b) Kratkoročni krediti u zemlji</v>
      </c>
      <c r="G56" s="285" t="s">
        <v>1495</v>
      </c>
      <c r="H56" s="275" t="s">
        <v>183</v>
      </c>
      <c r="I56" s="285" t="s">
        <v>1637</v>
      </c>
      <c r="J56" s="369" t="s">
        <v>642</v>
      </c>
      <c r="K56" s="368" t="s">
        <v>2961</v>
      </c>
      <c r="L56" s="263" t="s">
        <v>2934</v>
      </c>
      <c r="M56" s="286" t="s">
        <v>2532</v>
      </c>
      <c r="N56" s="261" t="s">
        <v>74</v>
      </c>
      <c r="O56" s="10"/>
      <c r="P56" s="10"/>
    </row>
    <row r="57" spans="1:16">
      <c r="A57">
        <f t="shared" si="0"/>
        <v>56</v>
      </c>
      <c r="B57" t="s">
        <v>2897</v>
      </c>
      <c r="C57">
        <v>4</v>
      </c>
      <c r="D57" s="229">
        <v>56</v>
      </c>
      <c r="E57" s="2" t="str">
        <f ca="1">VLOOKUP( Aop!$A57, Aop!$A$2:$P$456, ID_Jezik +10, 1)</f>
        <v>232, dio 238</v>
      </c>
      <c r="F57" t="str">
        <f ca="1">REPT( "  ", Aop!$C57) &amp; VLOOKUP( Aop!$A57, Aop!$A$2:$P$456, ID_Jezik + 6, 1)</f>
        <v xml:space="preserve">        c) Kratkoročni krediti u inostranstvu</v>
      </c>
      <c r="G57" s="285" t="s">
        <v>2617</v>
      </c>
      <c r="H57" s="276" t="s">
        <v>186</v>
      </c>
      <c r="I57" s="285" t="s">
        <v>1638</v>
      </c>
      <c r="J57" s="369" t="s">
        <v>643</v>
      </c>
      <c r="K57" s="368" t="s">
        <v>2962</v>
      </c>
      <c r="L57" s="263" t="s">
        <v>2935</v>
      </c>
      <c r="M57" s="286" t="s">
        <v>2533</v>
      </c>
      <c r="N57" s="261" t="s">
        <v>75</v>
      </c>
      <c r="O57" s="10"/>
      <c r="P57" s="10"/>
    </row>
    <row r="58" spans="1:16">
      <c r="A58">
        <f t="shared" si="0"/>
        <v>57</v>
      </c>
      <c r="B58" t="s">
        <v>2897</v>
      </c>
      <c r="C58">
        <v>4</v>
      </c>
      <c r="D58" s="229">
        <v>57</v>
      </c>
      <c r="E58" s="2" t="str">
        <f ca="1">VLOOKUP( Aop!$A58, Aop!$A$2:$P$456, ID_Jezik +10, 1)</f>
        <v>233, dio 238</v>
      </c>
      <c r="F58" t="str">
        <f ca="1">REPT( "  ", Aop!$C58) &amp; VLOOKUP( Aop!$A58, Aop!$A$2:$P$456, ID_Jezik + 6, 1)</f>
        <v xml:space="preserve">        d) Ostala finansijska sredstva po amortizovanoj vrijednosti</v>
      </c>
      <c r="G58" s="285" t="s">
        <v>2618</v>
      </c>
      <c r="H58" s="275" t="s">
        <v>184</v>
      </c>
      <c r="I58" s="285" t="s">
        <v>1639</v>
      </c>
      <c r="J58" s="369" t="s">
        <v>644</v>
      </c>
      <c r="K58" s="368" t="s">
        <v>2963</v>
      </c>
      <c r="L58" s="263" t="s">
        <v>2936</v>
      </c>
      <c r="M58" s="286" t="s">
        <v>2534</v>
      </c>
      <c r="N58" s="261" t="s">
        <v>76</v>
      </c>
      <c r="O58" s="10"/>
      <c r="P58" s="10"/>
    </row>
    <row r="59" spans="1:16" ht="12.75" customHeight="1">
      <c r="A59">
        <f t="shared" si="0"/>
        <v>58</v>
      </c>
      <c r="B59" t="s">
        <v>2897</v>
      </c>
      <c r="C59">
        <v>3</v>
      </c>
      <c r="D59" s="229">
        <v>58</v>
      </c>
      <c r="E59" s="2" t="str">
        <f ca="1">VLOOKUP( Aop!$A59, Aop!$A$2:$P$456, ID_Jezik +10, 1)</f>
        <v>235 i 236</v>
      </c>
      <c r="F59" t="str">
        <f ca="1">REPT( "  ", Aop!$C59) &amp; VLOOKUP( Aop!$A59, Aop!$A$2:$P$456, ID_Jezik + 6, 1)</f>
        <v xml:space="preserve">      2.2. Finansijska sredstva po fer vrijednosti kroz bilans uspjeha</v>
      </c>
      <c r="G59" s="285" t="s">
        <v>1379</v>
      </c>
      <c r="H59" s="276" t="s">
        <v>1380</v>
      </c>
      <c r="I59" s="285" t="s">
        <v>1640</v>
      </c>
      <c r="J59" s="369" t="s">
        <v>746</v>
      </c>
      <c r="K59" s="368" t="s">
        <v>1332</v>
      </c>
      <c r="L59" s="263" t="s">
        <v>2937</v>
      </c>
      <c r="M59" s="286" t="s">
        <v>1333</v>
      </c>
      <c r="N59" s="261" t="s">
        <v>2937</v>
      </c>
      <c r="O59" s="10"/>
      <c r="P59" s="10"/>
    </row>
    <row r="60" spans="1:16">
      <c r="A60">
        <f t="shared" si="0"/>
        <v>59</v>
      </c>
      <c r="B60" t="s">
        <v>2897</v>
      </c>
      <c r="C60">
        <v>3</v>
      </c>
      <c r="D60" s="229">
        <v>59</v>
      </c>
      <c r="E60" s="2" t="str">
        <f ca="1">VLOOKUP( Aop!$A60, Aop!$A$2:$P$456, ID_Jezik +10, 1)</f>
        <v>234, 239</v>
      </c>
      <c r="F60" t="str">
        <f ca="1">REPT( "  ", Aop!$C60) &amp; VLOOKUP( Aop!$A60, Aop!$A$2:$P$456, ID_Jezik + 6, 1)</f>
        <v xml:space="preserve">      2.3. Potraživanje po finansijskom lizingu</v>
      </c>
      <c r="G60" s="285" t="s">
        <v>591</v>
      </c>
      <c r="H60" s="275" t="s">
        <v>1648</v>
      </c>
      <c r="I60" s="285" t="s">
        <v>1641</v>
      </c>
      <c r="J60" s="369" t="s">
        <v>747</v>
      </c>
      <c r="K60" s="368" t="s">
        <v>2938</v>
      </c>
      <c r="L60" s="263" t="s">
        <v>2938</v>
      </c>
      <c r="M60" s="286" t="s">
        <v>2938</v>
      </c>
      <c r="N60" s="261" t="s">
        <v>2938</v>
      </c>
      <c r="O60" s="10"/>
      <c r="P60" s="10"/>
    </row>
    <row r="61" spans="1:16">
      <c r="A61">
        <f t="shared" si="0"/>
        <v>60</v>
      </c>
      <c r="B61" t="s">
        <v>2897</v>
      </c>
      <c r="C61">
        <v>3</v>
      </c>
      <c r="D61" s="229">
        <v>60</v>
      </c>
      <c r="E61" s="2">
        <f ca="1">VLOOKUP( Aop!$A61, Aop!$A$2:$P$456, ID_Jezik +10, 1)</f>
        <v>214</v>
      </c>
      <c r="F61" t="str">
        <f ca="1">REPT( "  ", Aop!$C61) &amp; VLOOKUP( Aop!$A61, Aop!$A$2:$P$456, ID_Jezik + 6, 1)</f>
        <v xml:space="preserve">      2.4. Derivatna finansijska sredstva</v>
      </c>
      <c r="G61" s="285" t="s">
        <v>2977</v>
      </c>
      <c r="H61" s="276" t="s">
        <v>1649</v>
      </c>
      <c r="I61" s="285" t="s">
        <v>1642</v>
      </c>
      <c r="J61" s="369" t="s">
        <v>748</v>
      </c>
      <c r="K61" s="368">
        <v>214</v>
      </c>
      <c r="L61" s="263">
        <v>214</v>
      </c>
      <c r="M61" s="286">
        <v>214</v>
      </c>
      <c r="N61" s="261">
        <v>214</v>
      </c>
      <c r="O61" s="10"/>
      <c r="P61" s="10"/>
    </row>
    <row r="62" spans="1:16">
      <c r="A62">
        <f t="shared" si="0"/>
        <v>61</v>
      </c>
      <c r="B62" t="s">
        <v>2897</v>
      </c>
      <c r="C62">
        <v>2</v>
      </c>
      <c r="D62" s="229">
        <v>61</v>
      </c>
      <c r="E62" s="2">
        <f ca="1">VLOOKUP( Aop!$A62, Aop!$A$2:$P$456, ID_Jezik +10, 1)</f>
        <v>24</v>
      </c>
      <c r="F62" t="str">
        <f ca="1">REPT( "  ", Aop!$C62) &amp; VLOOKUP( Aop!$A62, Aop!$A$2:$P$456, ID_Jezik + 6, 1)</f>
        <v xml:space="preserve">    3. Gotovinski ekvivalenti i gotovina (062 + 063)</v>
      </c>
      <c r="G62" s="285" t="s">
        <v>2978</v>
      </c>
      <c r="H62" s="275" t="s">
        <v>1651</v>
      </c>
      <c r="I62" s="285" t="s">
        <v>1643</v>
      </c>
      <c r="J62" s="369" t="s">
        <v>645</v>
      </c>
      <c r="K62" s="368">
        <v>24</v>
      </c>
      <c r="L62" s="263">
        <v>24</v>
      </c>
      <c r="M62" s="286">
        <v>24</v>
      </c>
      <c r="N62" s="261">
        <v>24</v>
      </c>
      <c r="O62" s="10">
        <v>1</v>
      </c>
      <c r="P62" s="10"/>
    </row>
    <row r="63" spans="1:16">
      <c r="A63">
        <f t="shared" si="0"/>
        <v>62</v>
      </c>
      <c r="B63" t="s">
        <v>2897</v>
      </c>
      <c r="C63">
        <v>3</v>
      </c>
      <c r="D63" s="229">
        <v>62</v>
      </c>
      <c r="E63" s="2" t="str">
        <f ca="1">VLOOKUP( Aop!$A63, Aop!$A$2:$P$456, ID_Jezik +10, 1)</f>
        <v>240, dio 249</v>
      </c>
      <c r="F63" t="str">
        <f ca="1">REPT( "  ", Aop!$C63) &amp; VLOOKUP( Aop!$A63, Aop!$A$2:$P$456, ID_Jezik + 6, 1)</f>
        <v xml:space="preserve">      3.1. Gotovinski ekvivalenti </v>
      </c>
      <c r="G63" s="285" t="s">
        <v>2979</v>
      </c>
      <c r="H63" s="276" t="s">
        <v>1650</v>
      </c>
      <c r="I63" s="285" t="s">
        <v>1644</v>
      </c>
      <c r="J63" s="369" t="s">
        <v>749</v>
      </c>
      <c r="K63" s="368" t="s">
        <v>2964</v>
      </c>
      <c r="L63" s="263" t="s">
        <v>2939</v>
      </c>
      <c r="M63" s="286" t="s">
        <v>2535</v>
      </c>
      <c r="N63" s="251" t="s">
        <v>77</v>
      </c>
      <c r="O63" s="10"/>
      <c r="P63" s="10"/>
    </row>
    <row r="64" spans="1:16">
      <c r="A64">
        <f t="shared" si="0"/>
        <v>63</v>
      </c>
      <c r="B64" t="s">
        <v>2897</v>
      </c>
      <c r="C64">
        <v>3</v>
      </c>
      <c r="D64" s="229">
        <v>63</v>
      </c>
      <c r="E64" s="2" t="str">
        <f ca="1">VLOOKUP( Aop!$A64, Aop!$A$2:$P$456, ID_Jezik +10, 1)</f>
        <v>241 do 249</v>
      </c>
      <c r="F64" t="str">
        <f ca="1">REPT( "  ", Aop!$C64) &amp; VLOOKUP( Aop!$A64, Aop!$A$2:$P$456, ID_Jezik + 6, 1)</f>
        <v xml:space="preserve">      3.2. Gotovina</v>
      </c>
      <c r="G64" s="285" t="s">
        <v>2980</v>
      </c>
      <c r="H64" s="275" t="s">
        <v>1652</v>
      </c>
      <c r="I64" s="285" t="s">
        <v>1645</v>
      </c>
      <c r="J64" s="369" t="s">
        <v>750</v>
      </c>
      <c r="K64" s="370" t="s">
        <v>1493</v>
      </c>
      <c r="L64" s="263" t="s">
        <v>2001</v>
      </c>
      <c r="M64" s="286" t="s">
        <v>1411</v>
      </c>
      <c r="N64" s="261" t="s">
        <v>2001</v>
      </c>
      <c r="O64" s="10"/>
      <c r="P64" s="10"/>
    </row>
    <row r="65" spans="1:16">
      <c r="A65">
        <f t="shared" si="0"/>
        <v>64</v>
      </c>
      <c r="B65" t="s">
        <v>2897</v>
      </c>
      <c r="C65">
        <v>2</v>
      </c>
      <c r="D65" s="229">
        <v>64</v>
      </c>
      <c r="E65" s="2" t="str">
        <f ca="1">VLOOKUP( Aop!$A65, Aop!$A$2:$P$456, ID_Jezik +10, 1)</f>
        <v>270 do 279</v>
      </c>
      <c r="F65" t="str">
        <f ca="1">REPT( "  ", Aop!$C65) &amp; VLOOKUP( Aop!$A65, Aop!$A$2:$P$456, ID_Jezik + 6, 1)</f>
        <v xml:space="preserve">    4. Porez na dodatu vrijednost</v>
      </c>
      <c r="G65" s="285" t="s">
        <v>1496</v>
      </c>
      <c r="H65" s="276" t="s">
        <v>1653</v>
      </c>
      <c r="I65" s="285" t="s">
        <v>1646</v>
      </c>
      <c r="J65" s="369" t="s">
        <v>646</v>
      </c>
      <c r="K65" s="371" t="s">
        <v>1412</v>
      </c>
      <c r="L65" s="263" t="s">
        <v>2940</v>
      </c>
      <c r="M65" s="286" t="s">
        <v>1413</v>
      </c>
      <c r="N65" s="261" t="s">
        <v>78</v>
      </c>
      <c r="O65" s="10"/>
      <c r="P65" s="10"/>
    </row>
    <row r="66" spans="1:16">
      <c r="A66">
        <f t="shared" ref="A66:A129" si="1">ROW()-ROW($A$1)</f>
        <v>65</v>
      </c>
      <c r="B66" t="s">
        <v>2897</v>
      </c>
      <c r="C66">
        <v>2</v>
      </c>
      <c r="D66" s="229">
        <v>65</v>
      </c>
      <c r="E66" s="2" t="str">
        <f ca="1">VLOOKUP( Aop!$A66, Aop!$A$2:$P$456, ID_Jezik +10, 1)</f>
        <v>280 do 289</v>
      </c>
      <c r="F66" t="str">
        <f ca="1">REPT( "  ", Aop!$C66) &amp; VLOOKUP( Aop!$A66, Aop!$A$2:$P$456, ID_Jezik + 6, 1)</f>
        <v xml:space="preserve">    5. Kratkoročna  razgraničenja</v>
      </c>
      <c r="G66" s="285" t="s">
        <v>2981</v>
      </c>
      <c r="H66" s="275" t="s">
        <v>1654</v>
      </c>
      <c r="I66" s="285" t="s">
        <v>1647</v>
      </c>
      <c r="J66" s="369" t="s">
        <v>647</v>
      </c>
      <c r="K66" s="371" t="s">
        <v>2965</v>
      </c>
      <c r="L66" s="263" t="s">
        <v>2941</v>
      </c>
      <c r="M66" s="286" t="s">
        <v>2536</v>
      </c>
      <c r="N66" s="234" t="s">
        <v>2941</v>
      </c>
      <c r="O66" s="10"/>
      <c r="P66" s="10"/>
    </row>
    <row r="67" spans="1:16" ht="13.5" thickBot="1">
      <c r="A67">
        <f t="shared" si="1"/>
        <v>66</v>
      </c>
      <c r="B67" t="s">
        <v>2897</v>
      </c>
      <c r="C67">
        <v>1</v>
      </c>
      <c r="D67" s="229">
        <v>66</v>
      </c>
      <c r="E67" s="2">
        <f ca="1">VLOOKUP( Aop!$A67, Aop!$A$2:$P$456, ID_Jezik +10, 1)</f>
        <v>0</v>
      </c>
      <c r="F67" t="str">
        <f ca="1">REPT( "  ", Aop!$C67) &amp; VLOOKUP( Aop!$A67, Aop!$A$2:$P$456, ID_Jezik + 6, 1)</f>
        <v xml:space="preserve">  G. BILANSNA AKTIVA (001 + 035 + 036)</v>
      </c>
      <c r="G67" s="285" t="s">
        <v>2982</v>
      </c>
      <c r="H67" s="285" t="s">
        <v>2552</v>
      </c>
      <c r="I67" s="285" t="s">
        <v>2542</v>
      </c>
      <c r="J67" s="369" t="s">
        <v>648</v>
      </c>
      <c r="K67" s="372">
        <v>0</v>
      </c>
      <c r="L67" s="265"/>
      <c r="M67" s="286"/>
      <c r="N67" s="287"/>
      <c r="O67" s="10">
        <v>1</v>
      </c>
      <c r="P67" s="10"/>
    </row>
    <row r="68" spans="1:16" ht="13.5" thickBot="1">
      <c r="A68">
        <f t="shared" si="1"/>
        <v>67</v>
      </c>
      <c r="B68" t="s">
        <v>2897</v>
      </c>
      <c r="C68">
        <v>1</v>
      </c>
      <c r="D68" s="229">
        <v>67</v>
      </c>
      <c r="E68" s="2" t="str">
        <f ca="1">VLOOKUP( Aop!$A68, Aop!$A$2:$P$456, ID_Jezik +10, 1)</f>
        <v>880 do 888</v>
      </c>
      <c r="F68" s="225" t="str">
        <f ca="1">REPT( "  ", Aop!$C68) &amp; VLOOKUP( Aop!$A68, Aop!$A$2:$P$456, ID_Jezik + 6, 1)</f>
        <v xml:space="preserve">  D. VANBILANSNA AKTIVA</v>
      </c>
      <c r="G68" s="285" t="s">
        <v>2983</v>
      </c>
      <c r="H68" s="285" t="s">
        <v>2553</v>
      </c>
      <c r="I68" s="285" t="s">
        <v>2543</v>
      </c>
      <c r="J68" s="369" t="s">
        <v>649</v>
      </c>
      <c r="K68" s="373" t="s">
        <v>1134</v>
      </c>
      <c r="L68" s="265" t="s">
        <v>2002</v>
      </c>
      <c r="M68" s="286" t="s">
        <v>1135</v>
      </c>
      <c r="N68" s="251" t="s">
        <v>2002</v>
      </c>
      <c r="O68" s="10">
        <v>1</v>
      </c>
      <c r="P68" s="10"/>
    </row>
    <row r="69" spans="1:16" ht="30" customHeight="1">
      <c r="A69">
        <f t="shared" si="1"/>
        <v>68</v>
      </c>
      <c r="B69" t="s">
        <v>2896</v>
      </c>
      <c r="C69">
        <v>1</v>
      </c>
      <c r="D69" s="229">
        <v>101</v>
      </c>
      <c r="E69" s="2">
        <f ca="1">VLOOKUP( Aop!$A69, Aop!$A$2:$P$456, ID_Jezik +10, 1)</f>
        <v>0</v>
      </c>
      <c r="F69" t="str">
        <f ca="1">REPT( "  ", Aop!$C69) &amp; VLOOKUP( Aop!$A69, Aop!$A$2:$P$456, ID_Jezik + 6, 1)</f>
        <v xml:space="preserve">  BILANSNA PASIVA
A. KAPITAL  (102 -110 + 113 - 114 + 115 + 119 + 122 - 123 + 124 - 128 + 131)</v>
      </c>
      <c r="G69" s="275" t="s">
        <v>2258</v>
      </c>
      <c r="H69" s="285" t="s">
        <v>2991</v>
      </c>
      <c r="I69" s="282" t="s">
        <v>997</v>
      </c>
      <c r="J69" s="351" t="s">
        <v>650</v>
      </c>
      <c r="K69" s="289"/>
      <c r="L69" s="289"/>
      <c r="M69" s="289"/>
      <c r="N69" s="287"/>
      <c r="O69" s="10">
        <v>1</v>
      </c>
      <c r="P69" s="10"/>
    </row>
    <row r="70" spans="1:16" ht="16.5" customHeight="1">
      <c r="A70">
        <f t="shared" si="1"/>
        <v>69</v>
      </c>
      <c r="B70" t="s">
        <v>2896</v>
      </c>
      <c r="C70">
        <v>1</v>
      </c>
      <c r="D70" s="229">
        <v>102</v>
      </c>
      <c r="E70" s="2">
        <f ca="1">VLOOKUP( Aop!$A70, Aop!$A$2:$P$456, ID_Jezik +10, 1)</f>
        <v>29</v>
      </c>
      <c r="F70" t="str">
        <f ca="1">REPT( "  ", Aop!$C70) &amp; VLOOKUP( Aop!$A70, Aop!$A$2:$P$456, ID_Jezik + 6, 1)</f>
        <v xml:space="preserve">  I OSNOVNI KAPITAL (103 + 106 + 107 + 108 + 109)</v>
      </c>
      <c r="G70" s="285" t="s">
        <v>1002</v>
      </c>
      <c r="H70" s="285" t="s">
        <v>1003</v>
      </c>
      <c r="I70" s="288" t="s">
        <v>1323</v>
      </c>
      <c r="J70" s="369" t="s">
        <v>651</v>
      </c>
      <c r="K70" s="374">
        <v>29</v>
      </c>
      <c r="L70" s="266">
        <v>29</v>
      </c>
      <c r="M70" s="290" t="s">
        <v>291</v>
      </c>
      <c r="N70" s="251">
        <v>29</v>
      </c>
      <c r="O70" s="10">
        <v>1</v>
      </c>
      <c r="P70" s="10"/>
    </row>
    <row r="71" spans="1:16" ht="16.5" customHeight="1">
      <c r="A71">
        <f t="shared" si="1"/>
        <v>70</v>
      </c>
      <c r="B71" t="s">
        <v>2896</v>
      </c>
      <c r="C71">
        <v>2</v>
      </c>
      <c r="D71" s="229">
        <v>103</v>
      </c>
      <c r="E71" s="2">
        <f ca="1">VLOOKUP( Aop!$A71, Aop!$A$2:$P$456, ID_Jezik +10, 1)</f>
        <v>300</v>
      </c>
      <c r="F71" t="str">
        <f ca="1">REPT( "  ", Aop!$C71) &amp; VLOOKUP( Aop!$A71, Aop!$A$2:$P$456, ID_Jezik + 6, 1)</f>
        <v xml:space="preserve">    1. Akcijski kapital (104 + 105)</v>
      </c>
      <c r="G71" s="285" t="s">
        <v>2619</v>
      </c>
      <c r="H71" s="285" t="s">
        <v>2992</v>
      </c>
      <c r="I71" s="288" t="s">
        <v>1136</v>
      </c>
      <c r="J71" s="369" t="s">
        <v>652</v>
      </c>
      <c r="K71" s="375">
        <v>300</v>
      </c>
      <c r="L71" s="270">
        <v>300</v>
      </c>
      <c r="M71" s="290">
        <v>300</v>
      </c>
      <c r="N71" s="251">
        <v>300</v>
      </c>
      <c r="O71" s="10">
        <v>1</v>
      </c>
      <c r="P71" s="10"/>
    </row>
    <row r="72" spans="1:16" ht="12" customHeight="1">
      <c r="A72">
        <f t="shared" si="1"/>
        <v>71</v>
      </c>
      <c r="B72" t="s">
        <v>2896</v>
      </c>
      <c r="C72">
        <v>3</v>
      </c>
      <c r="D72" s="229">
        <v>104</v>
      </c>
      <c r="E72" s="2">
        <f ca="1">VLOOKUP( Aop!$A72, Aop!$A$2:$P$456, ID_Jezik +10, 1)</f>
        <v>0</v>
      </c>
      <c r="F72" t="str">
        <f ca="1">REPT( "  ", Aop!$C72) &amp; VLOOKUP( Aop!$A72, Aop!$A$2:$P$456, ID_Jezik + 6, 1)</f>
        <v xml:space="preserve">      1.1. Akcijski kapital - obične akcije </v>
      </c>
      <c r="G72" s="285" t="s">
        <v>2620</v>
      </c>
      <c r="H72" s="285" t="s">
        <v>2993</v>
      </c>
      <c r="I72" s="288" t="s">
        <v>1655</v>
      </c>
      <c r="J72" s="369" t="s">
        <v>335</v>
      </c>
      <c r="K72" s="375"/>
      <c r="L72" s="270"/>
      <c r="M72" s="290"/>
      <c r="N72" s="251"/>
      <c r="O72" s="10"/>
      <c r="P72" s="10"/>
    </row>
    <row r="73" spans="1:16" ht="14.25" customHeight="1">
      <c r="A73">
        <f t="shared" si="1"/>
        <v>72</v>
      </c>
      <c r="B73" t="s">
        <v>2896</v>
      </c>
      <c r="C73">
        <v>3</v>
      </c>
      <c r="D73" s="229">
        <v>105</v>
      </c>
      <c r="E73" s="2">
        <f ca="1">VLOOKUP( Aop!$A73, Aop!$A$2:$P$456, ID_Jezik +10, 1)</f>
        <v>0</v>
      </c>
      <c r="F73" t="str">
        <f ca="1">REPT( "  ", Aop!$C73) &amp; VLOOKUP( Aop!$A73, Aop!$A$2:$P$456, ID_Jezik + 6, 1)</f>
        <v xml:space="preserve">      1.2. Akcijski kapital – povlašćene (prioritetne) akcije</v>
      </c>
      <c r="G73" s="285" t="s">
        <v>2621</v>
      </c>
      <c r="H73" s="285" t="s">
        <v>2994</v>
      </c>
      <c r="I73" s="288" t="s">
        <v>1656</v>
      </c>
      <c r="J73" s="369" t="s">
        <v>336</v>
      </c>
      <c r="K73" s="375"/>
      <c r="L73" s="270"/>
      <c r="M73" s="290"/>
      <c r="N73" s="251"/>
      <c r="O73" s="10"/>
      <c r="P73" s="10"/>
    </row>
    <row r="74" spans="1:16" ht="14.25" customHeight="1">
      <c r="A74">
        <f t="shared" si="1"/>
        <v>73</v>
      </c>
      <c r="B74" t="s">
        <v>2896</v>
      </c>
      <c r="C74">
        <v>2</v>
      </c>
      <c r="D74" s="229">
        <v>106</v>
      </c>
      <c r="E74" s="2">
        <f ca="1">VLOOKUP( Aop!$A74, Aop!$A$2:$P$456, ID_Jezik +10, 1)</f>
        <v>302</v>
      </c>
      <c r="F74" t="str">
        <f ca="1">REPT( "  ", Aop!$C74) &amp; VLOOKUP( Aop!$A74, Aop!$A$2:$P$456, ID_Jezik + 6, 1)</f>
        <v xml:space="preserve">    2. Udjeli društva sa ograničenom odgovornošću</v>
      </c>
      <c r="G74" s="285" t="s">
        <v>1505</v>
      </c>
      <c r="H74" s="285" t="s">
        <v>1800</v>
      </c>
      <c r="I74" s="288" t="s">
        <v>1657</v>
      </c>
      <c r="J74" s="369" t="s">
        <v>653</v>
      </c>
      <c r="K74" s="375">
        <v>302</v>
      </c>
      <c r="L74" s="270">
        <v>302</v>
      </c>
      <c r="M74" s="290">
        <v>302</v>
      </c>
      <c r="N74" s="251">
        <v>302</v>
      </c>
      <c r="O74" s="10"/>
      <c r="P74" s="10"/>
    </row>
    <row r="75" spans="1:16" ht="14.25" customHeight="1">
      <c r="A75">
        <f t="shared" si="1"/>
        <v>74</v>
      </c>
      <c r="B75" t="s">
        <v>2896</v>
      </c>
      <c r="C75">
        <v>2</v>
      </c>
      <c r="D75" s="229">
        <v>107</v>
      </c>
      <c r="E75" s="2">
        <f ca="1">VLOOKUP( Aop!$A75, Aop!$A$2:$P$456, ID_Jezik +10, 1)</f>
        <v>304</v>
      </c>
      <c r="F75" t="str">
        <f ca="1">REPT( "  ", Aop!$C75) &amp; VLOOKUP( Aop!$A75, Aop!$A$2:$P$456, ID_Jezik + 6, 1)</f>
        <v xml:space="preserve">    3. Ulozi</v>
      </c>
      <c r="G75" s="285" t="s">
        <v>2254</v>
      </c>
      <c r="H75" s="285" t="s">
        <v>2256</v>
      </c>
      <c r="I75" s="288" t="s">
        <v>1658</v>
      </c>
      <c r="J75" s="369" t="s">
        <v>654</v>
      </c>
      <c r="K75" s="375">
        <v>304</v>
      </c>
      <c r="L75" s="270">
        <v>304</v>
      </c>
      <c r="M75" s="290">
        <v>304</v>
      </c>
      <c r="N75" s="251">
        <v>304</v>
      </c>
      <c r="O75" s="10"/>
      <c r="P75" s="10"/>
    </row>
    <row r="76" spans="1:16" ht="14.25" customHeight="1">
      <c r="A76">
        <f t="shared" si="1"/>
        <v>75</v>
      </c>
      <c r="B76" t="s">
        <v>2896</v>
      </c>
      <c r="C76">
        <v>2</v>
      </c>
      <c r="D76" s="229">
        <v>108</v>
      </c>
      <c r="E76" s="2">
        <f ca="1">VLOOKUP( Aop!$A76, Aop!$A$2:$P$456, ID_Jezik +10, 1)</f>
        <v>305</v>
      </c>
      <c r="F76" t="str">
        <f ca="1">REPT( "  ", Aop!$C76) &amp; VLOOKUP( Aop!$A76, Aop!$A$2:$P$456, ID_Jezik + 6, 1)</f>
        <v xml:space="preserve">    4. Državni kapital</v>
      </c>
      <c r="G76" s="285" t="s">
        <v>2255</v>
      </c>
      <c r="H76" s="285" t="s">
        <v>2257</v>
      </c>
      <c r="I76" s="288" t="s">
        <v>1659</v>
      </c>
      <c r="J76" s="369" t="s">
        <v>655</v>
      </c>
      <c r="K76" s="375">
        <v>305</v>
      </c>
      <c r="L76" s="270">
        <v>305</v>
      </c>
      <c r="M76" s="290">
        <v>305</v>
      </c>
      <c r="N76" s="251">
        <v>305</v>
      </c>
      <c r="O76" s="10"/>
      <c r="P76" s="10"/>
    </row>
    <row r="77" spans="1:16" ht="14.25" customHeight="1">
      <c r="A77">
        <f t="shared" si="1"/>
        <v>76</v>
      </c>
      <c r="B77" t="s">
        <v>2896</v>
      </c>
      <c r="C77">
        <v>2</v>
      </c>
      <c r="D77" s="229">
        <v>109</v>
      </c>
      <c r="E77" s="2" t="str">
        <f ca="1">VLOOKUP( Aop!$A77, Aop!$A$2:$P$456, ID_Jezik +10, 1)</f>
        <v>309</v>
      </c>
      <c r="F77" t="str">
        <f ca="1">REPT( "  ", Aop!$C77) &amp; VLOOKUP( Aop!$A77, Aop!$A$2:$P$456, ID_Jezik + 6, 1)</f>
        <v xml:space="preserve">    5. Ostali osnovni kapital</v>
      </c>
      <c r="G77" s="285" t="s">
        <v>2622</v>
      </c>
      <c r="H77" s="285" t="s">
        <v>2995</v>
      </c>
      <c r="I77" s="288" t="s">
        <v>1660</v>
      </c>
      <c r="J77" s="369" t="s">
        <v>656</v>
      </c>
      <c r="K77" s="375" t="s">
        <v>2875</v>
      </c>
      <c r="L77" s="249" t="s">
        <v>2875</v>
      </c>
      <c r="M77" s="249" t="s">
        <v>2875</v>
      </c>
      <c r="N77" s="249" t="s">
        <v>2875</v>
      </c>
      <c r="O77" s="10"/>
      <c r="P77" s="10"/>
    </row>
    <row r="78" spans="1:16" ht="14.25" customHeight="1">
      <c r="A78">
        <f t="shared" si="1"/>
        <v>77</v>
      </c>
      <c r="B78" t="s">
        <v>2896</v>
      </c>
      <c r="C78">
        <v>1</v>
      </c>
      <c r="D78" s="3">
        <v>110</v>
      </c>
      <c r="E78" s="2">
        <f ca="1">VLOOKUP( Aop!$A78, Aop!$A$2:$P$456, ID_Jezik +10, 1)</f>
        <v>31</v>
      </c>
      <c r="F78" t="str">
        <f ca="1">REPT( "  ", Aop!$C78) &amp; VLOOKUP( Aop!$A78, Aop!$A$2:$P$456, ID_Jezik + 6, 1)</f>
        <v xml:space="preserve">  II OTKUPLJENE SOPSTVENE AKCIJE I UPISANI NEUPLAĆENI KAPITAL (111 + 112)</v>
      </c>
      <c r="G78" s="276" t="s">
        <v>1376</v>
      </c>
      <c r="H78" s="285" t="s">
        <v>2263</v>
      </c>
      <c r="I78" s="288" t="s">
        <v>1137</v>
      </c>
      <c r="J78" s="369" t="s">
        <v>657</v>
      </c>
      <c r="K78" s="376">
        <v>31</v>
      </c>
      <c r="L78" s="267">
        <v>31</v>
      </c>
      <c r="M78" s="290">
        <v>31</v>
      </c>
      <c r="N78" s="251">
        <v>31</v>
      </c>
      <c r="O78" s="10">
        <v>1</v>
      </c>
      <c r="P78" s="10"/>
    </row>
    <row r="79" spans="1:16" ht="14.25" customHeight="1">
      <c r="A79">
        <f t="shared" si="1"/>
        <v>78</v>
      </c>
      <c r="B79" t="s">
        <v>2896</v>
      </c>
      <c r="C79">
        <v>2</v>
      </c>
      <c r="D79" s="3">
        <v>111</v>
      </c>
      <c r="E79" s="2">
        <f ca="1">VLOOKUP( Aop!$A79, Aop!$A$2:$P$456, ID_Jezik +10, 1)</f>
        <v>310</v>
      </c>
      <c r="F79" t="str">
        <f ca="1">REPT( "  ", Aop!$C79) &amp; VLOOKUP( Aop!$A79, Aop!$A$2:$P$456, ID_Jezik + 6, 1)</f>
        <v xml:space="preserve">    1. Otkupljene sopstvene akcije i udjeli </v>
      </c>
      <c r="G79" s="285" t="s">
        <v>2623</v>
      </c>
      <c r="H79" s="285" t="s">
        <v>2996</v>
      </c>
      <c r="I79" s="288" t="s">
        <v>1661</v>
      </c>
      <c r="J79" s="369" t="s">
        <v>658</v>
      </c>
      <c r="K79" s="375">
        <v>310</v>
      </c>
      <c r="L79" s="270">
        <v>310</v>
      </c>
      <c r="M79" s="290">
        <v>310</v>
      </c>
      <c r="N79" s="251">
        <v>310</v>
      </c>
      <c r="O79" s="10">
        <v>1</v>
      </c>
      <c r="P79" s="10"/>
    </row>
    <row r="80" spans="1:16" ht="14.25" customHeight="1">
      <c r="A80">
        <f t="shared" si="1"/>
        <v>79</v>
      </c>
      <c r="B80" t="s">
        <v>2896</v>
      </c>
      <c r="C80">
        <v>2</v>
      </c>
      <c r="D80" s="3">
        <v>112</v>
      </c>
      <c r="E80" s="2">
        <f ca="1">VLOOKUP( Aop!$A80, Aop!$A$2:$P$456, ID_Jezik +10, 1)</f>
        <v>311</v>
      </c>
      <c r="F80" t="str">
        <f ca="1">REPT( "  ", Aop!$C80) &amp; VLOOKUP( Aop!$A80, Aop!$A$2:$P$456, ID_Jezik + 6, 1)</f>
        <v xml:space="preserve">    2. Upisani neuplaćeni kapital</v>
      </c>
      <c r="G80" s="285" t="s">
        <v>2624</v>
      </c>
      <c r="H80" s="285" t="s">
        <v>2997</v>
      </c>
      <c r="I80" s="288" t="s">
        <v>1662</v>
      </c>
      <c r="J80" s="369" t="s">
        <v>659</v>
      </c>
      <c r="K80" s="375">
        <v>311</v>
      </c>
      <c r="L80" s="270">
        <v>311</v>
      </c>
      <c r="M80" s="290">
        <v>311</v>
      </c>
      <c r="N80" s="251">
        <v>311</v>
      </c>
      <c r="O80" s="10">
        <v>1</v>
      </c>
      <c r="P80" s="10"/>
    </row>
    <row r="81" spans="1:16" ht="14.25" customHeight="1">
      <c r="A81">
        <f t="shared" si="1"/>
        <v>80</v>
      </c>
      <c r="B81" t="s">
        <v>2896</v>
      </c>
      <c r="C81">
        <v>1</v>
      </c>
      <c r="D81" s="3">
        <v>113</v>
      </c>
      <c r="E81" s="2">
        <f ca="1">VLOOKUP( Aop!$A81, Aop!$A$2:$P$456, ID_Jezik +10, 1)</f>
        <v>320</v>
      </c>
      <c r="F81" t="str">
        <f ca="1">REPT( "  ", Aop!$C81) &amp; VLOOKUP( Aop!$A81, Aop!$A$2:$P$456, ID_Jezik + 6, 1)</f>
        <v xml:space="preserve">  III EMISIONA PREMIJA</v>
      </c>
      <c r="G81" s="276" t="s">
        <v>2625</v>
      </c>
      <c r="H81" s="285" t="s">
        <v>2998</v>
      </c>
      <c r="I81" s="288" t="s">
        <v>1663</v>
      </c>
      <c r="J81" s="369" t="s">
        <v>660</v>
      </c>
      <c r="K81" s="375">
        <v>320</v>
      </c>
      <c r="L81" s="270">
        <v>320</v>
      </c>
      <c r="M81" s="290">
        <v>320</v>
      </c>
      <c r="N81" s="251">
        <v>320</v>
      </c>
      <c r="O81" s="10">
        <v>1</v>
      </c>
      <c r="P81" s="10"/>
    </row>
    <row r="82" spans="1:16" ht="14.25" customHeight="1">
      <c r="A82">
        <f t="shared" si="1"/>
        <v>81</v>
      </c>
      <c r="B82" t="s">
        <v>2896</v>
      </c>
      <c r="C82">
        <v>1</v>
      </c>
      <c r="D82" s="3">
        <v>114</v>
      </c>
      <c r="E82" s="2">
        <f ca="1">VLOOKUP( Aop!$A82, Aop!$A$2:$P$456, ID_Jezik +10, 1)</f>
        <v>321</v>
      </c>
      <c r="F82" t="str">
        <f ca="1">REPT( "  ", Aop!$C82) &amp; VLOOKUP( Aop!$A82, Aop!$A$2:$P$456, ID_Jezik + 6, 1)</f>
        <v xml:space="preserve">  IV EMISIONI GUBITAK</v>
      </c>
      <c r="G82" s="276" t="s">
        <v>1375</v>
      </c>
      <c r="H82" s="285" t="s">
        <v>624</v>
      </c>
      <c r="I82" s="288" t="s">
        <v>1664</v>
      </c>
      <c r="J82" s="369" t="s">
        <v>661</v>
      </c>
      <c r="K82" s="375">
        <v>321</v>
      </c>
      <c r="L82" s="270">
        <v>321</v>
      </c>
      <c r="M82" s="290">
        <v>321</v>
      </c>
      <c r="N82" s="251">
        <v>321</v>
      </c>
      <c r="O82" s="10"/>
      <c r="P82" s="10"/>
    </row>
    <row r="83" spans="1:16" ht="14.25" customHeight="1">
      <c r="A83">
        <f t="shared" si="1"/>
        <v>82</v>
      </c>
      <c r="B83" t="s">
        <v>2896</v>
      </c>
      <c r="C83">
        <v>1</v>
      </c>
      <c r="D83" s="3">
        <v>115</v>
      </c>
      <c r="E83" s="2" t="str">
        <f ca="1">VLOOKUP( Aop!$A83, Aop!$A$2:$P$456, ID_Jezik +10, 1)</f>
        <v>dio 32</v>
      </c>
      <c r="F83" t="str">
        <f ca="1">REPT( "  ", Aop!$C83) &amp; VLOOKUP( Aop!$A83, Aop!$A$2:$P$456, ID_Jezik + 6, 1)</f>
        <v xml:space="preserve">  V REZERVE (116 do 118)</v>
      </c>
      <c r="G83" s="276" t="s">
        <v>623</v>
      </c>
      <c r="H83" s="285" t="s">
        <v>625</v>
      </c>
      <c r="I83" s="288" t="s">
        <v>1320</v>
      </c>
      <c r="J83" s="369" t="s">
        <v>662</v>
      </c>
      <c r="K83" s="376" t="s">
        <v>1501</v>
      </c>
      <c r="L83" s="267" t="s">
        <v>2003</v>
      </c>
      <c r="M83" s="290" t="s">
        <v>1445</v>
      </c>
      <c r="N83" s="251" t="s">
        <v>79</v>
      </c>
      <c r="O83" s="10"/>
      <c r="P83" s="10"/>
    </row>
    <row r="84" spans="1:16" ht="14.25" customHeight="1">
      <c r="A84">
        <f t="shared" si="1"/>
        <v>83</v>
      </c>
      <c r="B84" t="s">
        <v>2896</v>
      </c>
      <c r="C84">
        <v>2</v>
      </c>
      <c r="D84" s="3">
        <v>116</v>
      </c>
      <c r="E84" s="2">
        <f ca="1">VLOOKUP( Aop!$A84, Aop!$A$2:$P$456, ID_Jezik +10, 1)</f>
        <v>322</v>
      </c>
      <c r="F84" t="str">
        <f ca="1">REPT( "  ", Aop!$C84) &amp; VLOOKUP( Aop!$A84, Aop!$A$2:$P$456, ID_Jezik + 6, 1)</f>
        <v xml:space="preserve">    1. Zakonske rezerve</v>
      </c>
      <c r="G84" s="285" t="s">
        <v>1477</v>
      </c>
      <c r="H84" s="285" t="s">
        <v>1801</v>
      </c>
      <c r="I84" s="288" t="s">
        <v>592</v>
      </c>
      <c r="J84" s="369" t="s">
        <v>337</v>
      </c>
      <c r="K84" s="375">
        <v>322</v>
      </c>
      <c r="L84" s="270">
        <v>322</v>
      </c>
      <c r="M84" s="290">
        <v>322</v>
      </c>
      <c r="N84" s="251">
        <v>322</v>
      </c>
      <c r="O84" s="10"/>
      <c r="P84" s="10"/>
    </row>
    <row r="85" spans="1:16" ht="14.25" customHeight="1">
      <c r="A85">
        <f t="shared" si="1"/>
        <v>84</v>
      </c>
      <c r="B85" t="s">
        <v>2896</v>
      </c>
      <c r="C85">
        <v>2</v>
      </c>
      <c r="D85" s="3">
        <v>117</v>
      </c>
      <c r="E85" s="2">
        <f ca="1">VLOOKUP( Aop!$A85, Aop!$A$2:$P$456, ID_Jezik +10, 1)</f>
        <v>323</v>
      </c>
      <c r="F85" t="str">
        <f ca="1">REPT( "  ", Aop!$C85) &amp; VLOOKUP( Aop!$A85, Aop!$A$2:$P$456, ID_Jezik + 6, 1)</f>
        <v xml:space="preserve">    2. Statutarne rezerve</v>
      </c>
      <c r="G85" s="285" t="s">
        <v>1497</v>
      </c>
      <c r="H85" s="285" t="s">
        <v>1802</v>
      </c>
      <c r="I85" s="288" t="s">
        <v>594</v>
      </c>
      <c r="J85" s="369" t="s">
        <v>338</v>
      </c>
      <c r="K85" s="375">
        <v>323</v>
      </c>
      <c r="L85" s="270">
        <v>323</v>
      </c>
      <c r="M85" s="290">
        <v>323</v>
      </c>
      <c r="N85" s="251">
        <v>323</v>
      </c>
      <c r="O85" s="10">
        <v>1</v>
      </c>
      <c r="P85" s="10"/>
    </row>
    <row r="86" spans="1:16" ht="14.25" customHeight="1">
      <c r="A86">
        <f t="shared" si="1"/>
        <v>85</v>
      </c>
      <c r="B86" t="s">
        <v>2896</v>
      </c>
      <c r="C86">
        <v>2</v>
      </c>
      <c r="D86" s="3">
        <v>118</v>
      </c>
      <c r="E86" s="2">
        <f ca="1">VLOOKUP( Aop!$A86, Aop!$A$2:$P$456, ID_Jezik +10, 1)</f>
        <v>329</v>
      </c>
      <c r="F86" t="str">
        <f ca="1">REPT( "  ", Aop!$C86) &amp; VLOOKUP( Aop!$A86, Aop!$A$2:$P$456, ID_Jezik + 6, 1)</f>
        <v xml:space="preserve">    3. Ostale rezerve</v>
      </c>
      <c r="G86" s="285" t="s">
        <v>1803</v>
      </c>
      <c r="H86" s="285" t="s">
        <v>1804</v>
      </c>
      <c r="I86" s="288" t="s">
        <v>593</v>
      </c>
      <c r="J86" s="369" t="s">
        <v>339</v>
      </c>
      <c r="K86" s="375">
        <v>329</v>
      </c>
      <c r="L86" s="270">
        <v>329</v>
      </c>
      <c r="M86" s="290">
        <v>329</v>
      </c>
      <c r="N86" s="251">
        <v>329</v>
      </c>
      <c r="O86" s="10">
        <v>1</v>
      </c>
      <c r="P86" s="10"/>
    </row>
    <row r="87" spans="1:16" ht="14.25" customHeight="1">
      <c r="A87">
        <f t="shared" si="1"/>
        <v>86</v>
      </c>
      <c r="B87" t="s">
        <v>2896</v>
      </c>
      <c r="C87">
        <v>1</v>
      </c>
      <c r="D87" s="3">
        <v>119</v>
      </c>
      <c r="E87" s="2" t="str">
        <f ca="1">VLOOKUP( Aop!$A87, Aop!$A$2:$P$456, ID_Jezik +10, 1)</f>
        <v>dio 33</v>
      </c>
      <c r="F87" t="str">
        <f ca="1">REPT( "  ", Aop!$C87) &amp; VLOOKUP( Aop!$A87, Aop!$A$2:$P$456, ID_Jezik + 6, 1)</f>
        <v xml:space="preserve">   VI REVALORIZACIONE REZERVE (120 + 121)</v>
      </c>
      <c r="G87" s="276" t="s">
        <v>2626</v>
      </c>
      <c r="H87" s="285" t="s">
        <v>2999</v>
      </c>
      <c r="I87" s="288" t="s">
        <v>1322</v>
      </c>
      <c r="J87" s="369" t="s">
        <v>663</v>
      </c>
      <c r="K87" s="376" t="s">
        <v>426</v>
      </c>
      <c r="L87" s="267" t="s">
        <v>844</v>
      </c>
      <c r="M87" s="290" t="s">
        <v>414</v>
      </c>
      <c r="N87" s="251" t="s">
        <v>80</v>
      </c>
      <c r="O87" s="10">
        <v>1</v>
      </c>
      <c r="P87" s="10"/>
    </row>
    <row r="88" spans="1:16" ht="14.25" customHeight="1">
      <c r="A88">
        <f t="shared" si="1"/>
        <v>87</v>
      </c>
      <c r="B88" t="s">
        <v>2896</v>
      </c>
      <c r="C88">
        <v>2</v>
      </c>
      <c r="D88" s="3">
        <v>120</v>
      </c>
      <c r="E88" s="2">
        <f ca="1">VLOOKUP( Aop!$A88, Aop!$A$2:$P$456, ID_Jezik +10, 1)</f>
        <v>330</v>
      </c>
      <c r="F88" t="str">
        <f ca="1">REPT( "  ", Aop!$C88) &amp; VLOOKUP( Aop!$A88, Aop!$A$2:$P$456, ID_Jezik + 6, 1)</f>
        <v xml:space="preserve">    1. Revalorizacione rezerve za nekretnine, postrojenja, opremu i nematerijalna sredstva</v>
      </c>
      <c r="G88" s="285" t="s">
        <v>2627</v>
      </c>
      <c r="H88" s="285" t="s">
        <v>3000</v>
      </c>
      <c r="I88" s="288" t="s">
        <v>1665</v>
      </c>
      <c r="J88" s="369" t="s">
        <v>664</v>
      </c>
      <c r="K88" s="376">
        <v>330</v>
      </c>
      <c r="L88" s="267">
        <v>330</v>
      </c>
      <c r="M88" s="290">
        <v>330</v>
      </c>
      <c r="N88" s="251">
        <v>330</v>
      </c>
      <c r="O88" s="10">
        <v>1</v>
      </c>
      <c r="P88" s="10"/>
    </row>
    <row r="89" spans="1:16" ht="14.25" customHeight="1">
      <c r="A89">
        <f t="shared" si="1"/>
        <v>88</v>
      </c>
      <c r="B89" t="s">
        <v>2896</v>
      </c>
      <c r="C89">
        <v>2</v>
      </c>
      <c r="D89" s="3">
        <v>121</v>
      </c>
      <c r="E89" s="2" t="str">
        <f ca="1">VLOOKUP( Aop!$A89, Aop!$A$2:$P$456, ID_Jezik +10, 1)</f>
        <v>331 i 334</v>
      </c>
      <c r="F89" t="str">
        <f ca="1">REPT( "  ", Aop!$C89) &amp; VLOOKUP( Aop!$A89, Aop!$A$2:$P$456, ID_Jezik + 6, 1)</f>
        <v xml:space="preserve">    2. Ostale revalorizacione rezerve</v>
      </c>
      <c r="G89" s="285" t="s">
        <v>2628</v>
      </c>
      <c r="H89" s="285" t="s">
        <v>3001</v>
      </c>
      <c r="I89" s="288" t="s">
        <v>1666</v>
      </c>
      <c r="J89" s="369" t="s">
        <v>665</v>
      </c>
      <c r="K89" s="376" t="s">
        <v>436</v>
      </c>
      <c r="L89" s="267" t="s">
        <v>845</v>
      </c>
      <c r="M89" s="290" t="s">
        <v>415</v>
      </c>
      <c r="N89" s="251" t="s">
        <v>845</v>
      </c>
      <c r="O89" s="10"/>
      <c r="P89" s="10"/>
    </row>
    <row r="90" spans="1:16" ht="14.25" customHeight="1">
      <c r="A90">
        <f t="shared" si="1"/>
        <v>89</v>
      </c>
      <c r="B90" t="s">
        <v>2896</v>
      </c>
      <c r="C90">
        <v>1</v>
      </c>
      <c r="D90" s="3">
        <v>122</v>
      </c>
      <c r="E90" s="2">
        <f ca="1">VLOOKUP( Aop!$A90, Aop!$A$2:$P$456, ID_Jezik +10, 1)</f>
        <v>332</v>
      </c>
      <c r="F90" t="str">
        <f ca="1">REPT( "  ", Aop!$C90) &amp; VLOOKUP( Aop!$A90, Aop!$A$2:$P$456, ID_Jezik + 6, 1)</f>
        <v xml:space="preserve">  VII POZITIVNI EFEKTI VREDNOVANJA FINANSIJSKIH SREDSTAVA KOJA SE VREDNUJU PO FER VRIJEDNOSTI KROZ OSTALI UKUPNI REZULTAT</v>
      </c>
      <c r="G90" s="276" t="s">
        <v>596</v>
      </c>
      <c r="H90" s="285" t="s">
        <v>595</v>
      </c>
      <c r="I90" s="288" t="s">
        <v>369</v>
      </c>
      <c r="J90" s="369" t="s">
        <v>666</v>
      </c>
      <c r="K90" s="376">
        <v>332</v>
      </c>
      <c r="L90" s="267">
        <v>332</v>
      </c>
      <c r="M90" s="268">
        <v>332</v>
      </c>
      <c r="N90" s="251">
        <v>332</v>
      </c>
      <c r="O90" s="10"/>
      <c r="P90" s="10"/>
    </row>
    <row r="91" spans="1:16" ht="14.25" customHeight="1">
      <c r="A91">
        <f t="shared" si="1"/>
        <v>90</v>
      </c>
      <c r="B91" t="s">
        <v>2896</v>
      </c>
      <c r="C91">
        <v>1</v>
      </c>
      <c r="D91" s="3">
        <v>123</v>
      </c>
      <c r="E91" s="2">
        <f ca="1">VLOOKUP( Aop!$A91, Aop!$A$2:$P$456, ID_Jezik +10, 1)</f>
        <v>333</v>
      </c>
      <c r="F91" t="str">
        <f ca="1">REPT( "  ", Aop!$C91) &amp; VLOOKUP( Aop!$A91, Aop!$A$2:$P$456, ID_Jezik + 6, 1)</f>
        <v xml:space="preserve">  VIII NEGATIVNI EFEKTI VREDNOVANJA FINANSIJSKIH SREDSTAVA KOJA SE VREDNUJU PO FER VRIJEDNOSTI KROZ OSTALI UKUPNI REZULTAT</v>
      </c>
      <c r="G91" s="276" t="s">
        <v>1555</v>
      </c>
      <c r="H91" s="285" t="s">
        <v>3002</v>
      </c>
      <c r="I91" s="288" t="s">
        <v>370</v>
      </c>
      <c r="J91" s="369" t="s">
        <v>667</v>
      </c>
      <c r="K91" s="374">
        <v>333</v>
      </c>
      <c r="L91" s="266">
        <v>333</v>
      </c>
      <c r="M91" s="269">
        <v>333</v>
      </c>
      <c r="N91" s="251">
        <v>333</v>
      </c>
      <c r="O91" s="10"/>
      <c r="P91" s="10"/>
    </row>
    <row r="92" spans="1:16" ht="14.25" customHeight="1">
      <c r="A92">
        <f t="shared" si="1"/>
        <v>91</v>
      </c>
      <c r="B92" t="s">
        <v>2896</v>
      </c>
      <c r="C92">
        <v>1</v>
      </c>
      <c r="D92" s="3">
        <v>124</v>
      </c>
      <c r="E92" s="2">
        <f ca="1">VLOOKUP( Aop!$A92, Aop!$A$2:$P$456, ID_Jezik +10, 1)</f>
        <v>34</v>
      </c>
      <c r="F92" t="str">
        <f ca="1">REPT( "  ", Aop!$C92) &amp; VLOOKUP( Aop!$A92, Aop!$A$2:$P$456, ID_Jezik + 6, 1)</f>
        <v xml:space="preserve">  IX  NERASPOREĐENA DOBIT (125 do 127)</v>
      </c>
      <c r="G92" s="285" t="s">
        <v>622</v>
      </c>
      <c r="H92" s="285" t="s">
        <v>1324</v>
      </c>
      <c r="I92" s="288" t="s">
        <v>1321</v>
      </c>
      <c r="J92" s="369" t="s">
        <v>668</v>
      </c>
      <c r="K92" s="376">
        <v>34</v>
      </c>
      <c r="L92" s="267">
        <v>34</v>
      </c>
      <c r="M92" s="268">
        <v>34</v>
      </c>
      <c r="N92" s="251">
        <v>34</v>
      </c>
      <c r="O92" s="10"/>
      <c r="P92" s="10"/>
    </row>
    <row r="93" spans="1:16" ht="14.25" customHeight="1">
      <c r="A93">
        <f t="shared" si="1"/>
        <v>92</v>
      </c>
      <c r="B93" t="s">
        <v>2896</v>
      </c>
      <c r="C93">
        <v>2</v>
      </c>
      <c r="D93" s="3">
        <v>125</v>
      </c>
      <c r="E93" s="2" t="str">
        <f ca="1">VLOOKUP( Aop!$A93, Aop!$A$2:$P$456, ID_Jezik +10, 1)</f>
        <v>340 ili 342</v>
      </c>
      <c r="F93" t="str">
        <f ca="1">REPT( "  ", Aop!$C93) &amp; VLOOKUP( Aop!$A93, Aop!$A$2:$P$456, ID_Jezik + 6, 1)</f>
        <v xml:space="preserve">    1. Neraspoređena dobit ranijih godina / Neraspoređeni višak prihoda nad rashodima ranijih godina</v>
      </c>
      <c r="G93" s="285" t="s">
        <v>2629</v>
      </c>
      <c r="H93" s="285" t="s">
        <v>3003</v>
      </c>
      <c r="I93" s="288" t="s">
        <v>371</v>
      </c>
      <c r="J93" s="369" t="s">
        <v>669</v>
      </c>
      <c r="K93" s="375" t="s">
        <v>2115</v>
      </c>
      <c r="L93" s="270" t="s">
        <v>427</v>
      </c>
      <c r="M93" s="290" t="s">
        <v>2116</v>
      </c>
      <c r="N93" s="251" t="s">
        <v>427</v>
      </c>
      <c r="O93" s="10"/>
      <c r="P93" s="10"/>
    </row>
    <row r="94" spans="1:16" ht="14.25" customHeight="1">
      <c r="A94">
        <f t="shared" si="1"/>
        <v>93</v>
      </c>
      <c r="B94" t="s">
        <v>2896</v>
      </c>
      <c r="C94">
        <v>2</v>
      </c>
      <c r="D94" s="3">
        <v>126</v>
      </c>
      <c r="E94" s="2" t="str">
        <f ca="1">VLOOKUP( Aop!$A94, Aop!$A$2:$P$456, ID_Jezik +10, 1)</f>
        <v>341 ili 343</v>
      </c>
      <c r="F94" t="str">
        <f ca="1">REPT( "  ", Aop!$C94) &amp; VLOOKUP( Aop!$A94, Aop!$A$2:$P$456, ID_Jezik + 6, 1)</f>
        <v xml:space="preserve">    2. Neraspoređena dobit tekuće godine / Neraspoređeni višak prihoda nad rashodima tekuće godine</v>
      </c>
      <c r="G94" s="285" t="s">
        <v>1338</v>
      </c>
      <c r="H94" s="285" t="s">
        <v>1339</v>
      </c>
      <c r="I94" s="288" t="s">
        <v>372</v>
      </c>
      <c r="J94" s="369" t="s">
        <v>340</v>
      </c>
      <c r="K94" s="375" t="s">
        <v>2117</v>
      </c>
      <c r="L94" s="270" t="s">
        <v>428</v>
      </c>
      <c r="M94" s="290" t="s">
        <v>2118</v>
      </c>
      <c r="N94" s="251" t="s">
        <v>428</v>
      </c>
      <c r="O94" s="10"/>
      <c r="P94" s="10"/>
    </row>
    <row r="95" spans="1:16" ht="14.25" customHeight="1">
      <c r="A95">
        <f t="shared" si="1"/>
        <v>94</v>
      </c>
      <c r="B95" t="s">
        <v>2896</v>
      </c>
      <c r="C95">
        <v>2</v>
      </c>
      <c r="D95" s="3">
        <v>127</v>
      </c>
      <c r="E95" s="2">
        <f ca="1">VLOOKUP( Aop!$A95, Aop!$A$2:$P$456, ID_Jezik +10, 1)</f>
        <v>344</v>
      </c>
      <c r="F95" t="str">
        <f ca="1">REPT( "  ", Aop!$C95) &amp; VLOOKUP( Aop!$A95, Aop!$A$2:$P$456, ID_Jezik + 6, 1)</f>
        <v xml:space="preserve">    3. Neto prihod od samostalne djelatnosti</v>
      </c>
      <c r="G95" s="285" t="s">
        <v>2113</v>
      </c>
      <c r="H95" s="285" t="s">
        <v>2114</v>
      </c>
      <c r="I95" s="288" t="s">
        <v>373</v>
      </c>
      <c r="J95" s="369" t="s">
        <v>670</v>
      </c>
      <c r="K95" s="375">
        <v>344</v>
      </c>
      <c r="L95" s="270">
        <v>344</v>
      </c>
      <c r="M95" s="290">
        <v>344</v>
      </c>
      <c r="N95" s="251">
        <v>344</v>
      </c>
      <c r="O95" s="10">
        <v>1</v>
      </c>
      <c r="P95" s="10"/>
    </row>
    <row r="96" spans="1:16" ht="14.25" customHeight="1">
      <c r="A96">
        <f t="shared" si="1"/>
        <v>95</v>
      </c>
      <c r="B96" t="s">
        <v>2896</v>
      </c>
      <c r="C96">
        <v>1</v>
      </c>
      <c r="D96" s="3">
        <v>128</v>
      </c>
      <c r="E96" s="2" t="str">
        <f ca="1">VLOOKUP( Aop!$A96, Aop!$A$2:$P$456, ID_Jezik +10, 1)</f>
        <v>35</v>
      </c>
      <c r="F96" t="str">
        <f ca="1">REPT( "  ", Aop!$C96) &amp; VLOOKUP( Aop!$A96, Aop!$A$2:$P$456, ID_Jezik + 6, 1)</f>
        <v xml:space="preserve">  X GUBITAK (129 + 130)  </v>
      </c>
      <c r="G96" s="285" t="s">
        <v>1327</v>
      </c>
      <c r="H96" s="285" t="s">
        <v>1325</v>
      </c>
      <c r="I96" s="288" t="s">
        <v>1326</v>
      </c>
      <c r="J96" s="369" t="s">
        <v>671</v>
      </c>
      <c r="K96" s="376" t="s">
        <v>2876</v>
      </c>
      <c r="L96" s="267" t="s">
        <v>2876</v>
      </c>
      <c r="M96" s="290" t="s">
        <v>2876</v>
      </c>
      <c r="N96" s="251">
        <v>35</v>
      </c>
      <c r="O96" s="10"/>
      <c r="P96" s="10"/>
    </row>
    <row r="97" spans="1:16" ht="14.25" customHeight="1">
      <c r="A97">
        <f t="shared" si="1"/>
        <v>96</v>
      </c>
      <c r="B97" t="s">
        <v>2896</v>
      </c>
      <c r="C97">
        <v>2</v>
      </c>
      <c r="D97" s="3">
        <v>129</v>
      </c>
      <c r="E97" s="2" t="str">
        <f ca="1">VLOOKUP( Aop!$A97, Aop!$A$2:$P$456, ID_Jezik +10, 1)</f>
        <v>350 ili 352</v>
      </c>
      <c r="F97" t="str">
        <f ca="1">REPT( "  ", Aop!$C97) &amp; VLOOKUP( Aop!$A97, Aop!$A$2:$P$456, ID_Jezik + 6, 1)</f>
        <v xml:space="preserve">    1. Gubitak ranijih godina / Višak rashoda nad prihodima ranijih godina</v>
      </c>
      <c r="G97" s="285" t="s">
        <v>2630</v>
      </c>
      <c r="H97" s="285" t="s">
        <v>3004</v>
      </c>
      <c r="I97" s="288" t="s">
        <v>374</v>
      </c>
      <c r="J97" s="369" t="s">
        <v>672</v>
      </c>
      <c r="K97" s="375" t="s">
        <v>437</v>
      </c>
      <c r="L97" s="270" t="s">
        <v>846</v>
      </c>
      <c r="M97" s="290" t="s">
        <v>416</v>
      </c>
      <c r="N97" s="251" t="s">
        <v>846</v>
      </c>
      <c r="O97" s="10"/>
      <c r="P97" s="10"/>
    </row>
    <row r="98" spans="1:16" ht="14.25" customHeight="1">
      <c r="A98">
        <f t="shared" si="1"/>
        <v>97</v>
      </c>
      <c r="B98" t="s">
        <v>2896</v>
      </c>
      <c r="C98">
        <v>2</v>
      </c>
      <c r="D98" s="3">
        <v>130</v>
      </c>
      <c r="E98" s="2" t="str">
        <f ca="1">VLOOKUP( Aop!$A98, Aop!$A$2:$P$456, ID_Jezik +10, 1)</f>
        <v>351 ili 353</v>
      </c>
      <c r="F98" t="str">
        <f ca="1">REPT( "  ", Aop!$C98) &amp; VLOOKUP( Aop!$A98, Aop!$A$2:$P$456, ID_Jezik + 6, 1)</f>
        <v xml:space="preserve">    2. Gubitak tekuće godine / Višak rashoda nad prihodima tekuće godine</v>
      </c>
      <c r="G98" s="285" t="s">
        <v>2631</v>
      </c>
      <c r="H98" s="285" t="s">
        <v>3005</v>
      </c>
      <c r="I98" s="288" t="s">
        <v>375</v>
      </c>
      <c r="J98" s="369" t="s">
        <v>673</v>
      </c>
      <c r="K98" s="375" t="s">
        <v>438</v>
      </c>
      <c r="L98" s="270" t="s">
        <v>847</v>
      </c>
      <c r="M98" s="290" t="s">
        <v>417</v>
      </c>
      <c r="N98" s="251" t="s">
        <v>847</v>
      </c>
      <c r="O98" s="10"/>
      <c r="P98" s="10"/>
    </row>
    <row r="99" spans="1:16" ht="14.25" customHeight="1">
      <c r="A99">
        <f t="shared" si="1"/>
        <v>98</v>
      </c>
      <c r="B99" t="s">
        <v>2896</v>
      </c>
      <c r="C99">
        <v>1</v>
      </c>
      <c r="D99" s="3">
        <v>131</v>
      </c>
      <c r="E99" s="2" t="str">
        <f ca="1">VLOOKUP( Aop!$A99, Aop!$A$2:$P$456, ID_Jezik +10, 1)</f>
        <v xml:space="preserve"> </v>
      </c>
      <c r="F99" t="str">
        <f ca="1">REPT( "  ", Aop!$C99) &amp; VLOOKUP( Aop!$A99, Aop!$A$2:$P$456, ID_Jezik + 6, 1)</f>
        <v xml:space="preserve">  XI UČEŠĆA BEZ PRAVA KONTROLE</v>
      </c>
      <c r="G99" s="276" t="s">
        <v>2632</v>
      </c>
      <c r="H99" s="285" t="s">
        <v>3006</v>
      </c>
      <c r="I99" s="288" t="s">
        <v>376</v>
      </c>
      <c r="J99" s="369" t="s">
        <v>674</v>
      </c>
      <c r="K99" s="376" t="s">
        <v>2912</v>
      </c>
      <c r="L99" s="267" t="s">
        <v>2912</v>
      </c>
      <c r="M99" s="290" t="s">
        <v>2912</v>
      </c>
      <c r="N99" s="251"/>
      <c r="O99" s="10"/>
      <c r="P99" s="10"/>
    </row>
    <row r="100" spans="1:16" ht="14.25" customHeight="1">
      <c r="A100">
        <f t="shared" si="1"/>
        <v>99</v>
      </c>
      <c r="B100" t="s">
        <v>2896</v>
      </c>
      <c r="C100">
        <v>1</v>
      </c>
      <c r="D100" s="3">
        <v>132</v>
      </c>
      <c r="E100" s="2" t="str">
        <f ca="1">VLOOKUP( Aop!$A100, Aop!$A$2:$P$456, ID_Jezik +10, 1)</f>
        <v xml:space="preserve"> </v>
      </c>
      <c r="F100" t="str">
        <f ca="1">REPT( "  ", Aop!$C100) &amp; VLOOKUP( Aop!$A100, Aop!$A$2:$P$456, ID_Jezik + 6, 1)</f>
        <v xml:space="preserve">  B. DUGOROČNA REZERVISANJA I DUGOROČNE OBAVEZE (133 + 137 + 145)</v>
      </c>
      <c r="G100" s="276" t="s">
        <v>252</v>
      </c>
      <c r="H100" s="285" t="s">
        <v>3007</v>
      </c>
      <c r="I100" s="288" t="s">
        <v>377</v>
      </c>
      <c r="J100" s="369" t="s">
        <v>675</v>
      </c>
      <c r="K100" s="375" t="s">
        <v>2912</v>
      </c>
      <c r="L100" s="270" t="s">
        <v>2912</v>
      </c>
      <c r="M100" s="290" t="s">
        <v>2912</v>
      </c>
      <c r="N100" s="251"/>
      <c r="O100" s="10"/>
      <c r="P100" s="10"/>
    </row>
    <row r="101" spans="1:16" ht="14.25" customHeight="1">
      <c r="A101">
        <f t="shared" si="1"/>
        <v>100</v>
      </c>
      <c r="B101" t="s">
        <v>2896</v>
      </c>
      <c r="C101">
        <v>1</v>
      </c>
      <c r="D101" s="3">
        <v>133</v>
      </c>
      <c r="E101" s="2" t="str">
        <f ca="1">VLOOKUP( Aop!$A101, Aop!$A$2:$P$456, ID_Jezik +10, 1)</f>
        <v>dio 40</v>
      </c>
      <c r="F101" t="str">
        <f ca="1">REPT( "  ", Aop!$C101) &amp; VLOOKUP( Aop!$A101, Aop!$A$2:$P$456, ID_Jezik + 6, 1)</f>
        <v xml:space="preserve">  I DUGOROČNA REZERVISANJA (134 do 136)</v>
      </c>
      <c r="G101" s="276" t="s">
        <v>253</v>
      </c>
      <c r="H101" s="285" t="s">
        <v>3008</v>
      </c>
      <c r="I101" s="288" t="s">
        <v>378</v>
      </c>
      <c r="J101" s="369" t="s">
        <v>341</v>
      </c>
      <c r="K101" s="375" t="s">
        <v>429</v>
      </c>
      <c r="L101" s="270" t="s">
        <v>848</v>
      </c>
      <c r="M101" s="290" t="s">
        <v>418</v>
      </c>
      <c r="N101" s="251" t="s">
        <v>81</v>
      </c>
      <c r="O101" s="10"/>
      <c r="P101" s="10"/>
    </row>
    <row r="102" spans="1:16" ht="14.25" customHeight="1">
      <c r="A102">
        <f t="shared" si="1"/>
        <v>101</v>
      </c>
      <c r="B102" t="s">
        <v>2896</v>
      </c>
      <c r="C102">
        <v>2</v>
      </c>
      <c r="D102" s="3">
        <v>134</v>
      </c>
      <c r="E102" s="2">
        <f ca="1">VLOOKUP( Aop!$A102, Aop!$A$2:$P$456, ID_Jezik +10, 1)</f>
        <v>400</v>
      </c>
      <c r="F102" t="str">
        <f ca="1">REPT( "  ", Aop!$C102) &amp; VLOOKUP( Aop!$A102, Aop!$A$2:$P$456, ID_Jezik + 6, 1)</f>
        <v xml:space="preserve">    1. Rezervisanja za troškove u garantnom roku</v>
      </c>
      <c r="G102" s="285" t="s">
        <v>1498</v>
      </c>
      <c r="H102" s="285" t="s">
        <v>1805</v>
      </c>
      <c r="I102" s="288" t="s">
        <v>379</v>
      </c>
      <c r="J102" s="369" t="s">
        <v>676</v>
      </c>
      <c r="K102" s="375">
        <v>400</v>
      </c>
      <c r="L102" s="270">
        <v>400</v>
      </c>
      <c r="M102" s="290">
        <v>400</v>
      </c>
      <c r="N102" s="251">
        <v>400</v>
      </c>
      <c r="O102" s="10"/>
      <c r="P102" s="10"/>
    </row>
    <row r="103" spans="1:16" ht="14.25" customHeight="1">
      <c r="A103">
        <f t="shared" si="1"/>
        <v>102</v>
      </c>
      <c r="B103" t="s">
        <v>2896</v>
      </c>
      <c r="C103">
        <v>2</v>
      </c>
      <c r="D103" s="3">
        <v>135</v>
      </c>
      <c r="E103" s="2">
        <f ca="1">VLOOKUP( Aop!$A103, Aop!$A$2:$P$456, ID_Jezik +10, 1)</f>
        <v>404</v>
      </c>
      <c r="F103" t="str">
        <f ca="1">REPT( "  ", Aop!$C103) &amp; VLOOKUP( Aop!$A103, Aop!$A$2:$P$456, ID_Jezik + 6, 1)</f>
        <v xml:space="preserve">    2. Rezervisanja za naknade i beneficije zaposlenih</v>
      </c>
      <c r="G103" s="285" t="s">
        <v>2633</v>
      </c>
      <c r="H103" s="285" t="s">
        <v>3009</v>
      </c>
      <c r="I103" s="288" t="s">
        <v>380</v>
      </c>
      <c r="J103" s="369" t="s">
        <v>677</v>
      </c>
      <c r="K103" s="375">
        <v>404</v>
      </c>
      <c r="L103" s="270">
        <v>404</v>
      </c>
      <c r="M103" s="290">
        <v>404</v>
      </c>
      <c r="N103" s="251">
        <v>404</v>
      </c>
      <c r="O103" s="10"/>
      <c r="P103" s="10"/>
    </row>
    <row r="104" spans="1:16" ht="14.25" customHeight="1">
      <c r="A104">
        <f t="shared" si="1"/>
        <v>103</v>
      </c>
      <c r="B104" t="s">
        <v>2896</v>
      </c>
      <c r="C104">
        <v>2</v>
      </c>
      <c r="D104" s="3">
        <v>136</v>
      </c>
      <c r="E104" s="2" t="str">
        <f ca="1">VLOOKUP( Aop!$A104, Aop!$A$2:$P$456, ID_Jezik +10, 1)</f>
        <v>401, 402, 403, dio 409</v>
      </c>
      <c r="F104" t="str">
        <f ca="1">REPT( "  ", Aop!$C104) &amp; VLOOKUP( Aop!$A104, Aop!$A$2:$P$456, ID_Jezik + 6, 1)</f>
        <v xml:space="preserve">    3. Ostala dugoročna rezervisanja</v>
      </c>
      <c r="G104" s="285" t="s">
        <v>2634</v>
      </c>
      <c r="H104" s="285" t="s">
        <v>3010</v>
      </c>
      <c r="I104" s="288" t="s">
        <v>381</v>
      </c>
      <c r="J104" s="369" t="s">
        <v>678</v>
      </c>
      <c r="K104" s="375" t="s">
        <v>430</v>
      </c>
      <c r="L104" s="270" t="s">
        <v>849</v>
      </c>
      <c r="M104" s="290" t="s">
        <v>419</v>
      </c>
      <c r="N104" s="251" t="s">
        <v>82</v>
      </c>
      <c r="O104" s="10">
        <v>1</v>
      </c>
      <c r="P104" s="10"/>
    </row>
    <row r="105" spans="1:16" ht="14.25" customHeight="1">
      <c r="A105">
        <f t="shared" si="1"/>
        <v>104</v>
      </c>
      <c r="B105" t="s">
        <v>2896</v>
      </c>
      <c r="C105">
        <v>1</v>
      </c>
      <c r="D105" s="3">
        <v>137</v>
      </c>
      <c r="E105" s="2" t="str">
        <f ca="1">VLOOKUP( Aop!$A105, Aop!$A$2:$P$456, ID_Jezik +10, 1)</f>
        <v xml:space="preserve"> </v>
      </c>
      <c r="F105" t="str">
        <f ca="1">REPT( "  ", Aop!$C105) &amp; VLOOKUP( Aop!$A105, Aop!$A$2:$P$456, ID_Jezik + 6, 1)</f>
        <v xml:space="preserve">  II DUGOROČNE OBAVEZE (138 do 144)</v>
      </c>
      <c r="G105" s="285" t="s">
        <v>2635</v>
      </c>
      <c r="H105" s="285" t="s">
        <v>3011</v>
      </c>
      <c r="I105" s="288" t="s">
        <v>382</v>
      </c>
      <c r="J105" s="369" t="s">
        <v>342</v>
      </c>
      <c r="K105" s="375" t="s">
        <v>2912</v>
      </c>
      <c r="L105" s="270" t="s">
        <v>2912</v>
      </c>
      <c r="M105" s="290" t="s">
        <v>2912</v>
      </c>
      <c r="N105" s="251"/>
      <c r="O105" s="10">
        <v>1</v>
      </c>
      <c r="P105" s="10"/>
    </row>
    <row r="106" spans="1:16" ht="14.25" customHeight="1">
      <c r="A106">
        <f t="shared" si="1"/>
        <v>105</v>
      </c>
      <c r="B106" t="s">
        <v>2896</v>
      </c>
      <c r="C106">
        <v>2</v>
      </c>
      <c r="D106" s="3">
        <v>138</v>
      </c>
      <c r="E106" s="2">
        <f ca="1">VLOOKUP( Aop!$A106, Aop!$A$2:$P$456, ID_Jezik +10, 1)</f>
        <v>411</v>
      </c>
      <c r="F106" t="str">
        <f ca="1">REPT( "  ", Aop!$C106) &amp; VLOOKUP( Aop!$A106, Aop!$A$2:$P$456, ID_Jezik + 6, 1)</f>
        <v xml:space="preserve">    1. Obaveze prema povezanim pravnim licima</v>
      </c>
      <c r="G106" s="285" t="s">
        <v>2636</v>
      </c>
      <c r="H106" s="285" t="s">
        <v>815</v>
      </c>
      <c r="I106" s="288" t="s">
        <v>383</v>
      </c>
      <c r="J106" s="369" t="s">
        <v>762</v>
      </c>
      <c r="K106" s="375">
        <v>411</v>
      </c>
      <c r="L106" s="270">
        <v>411</v>
      </c>
      <c r="M106" s="290">
        <v>411</v>
      </c>
      <c r="N106" s="251">
        <v>411</v>
      </c>
      <c r="O106" s="10"/>
      <c r="P106" s="10"/>
    </row>
    <row r="107" spans="1:16" ht="14.25" customHeight="1">
      <c r="A107">
        <f t="shared" si="1"/>
        <v>106</v>
      </c>
      <c r="B107" t="s">
        <v>2896</v>
      </c>
      <c r="C107">
        <v>2</v>
      </c>
      <c r="D107" s="3">
        <v>139</v>
      </c>
      <c r="E107" s="2">
        <f ca="1">VLOOKUP( Aop!$A107, Aop!$A$2:$P$456, ID_Jezik +10, 1)</f>
        <v>413</v>
      </c>
      <c r="F107" t="str">
        <f ca="1">REPT( "  ", Aop!$C107) &amp; VLOOKUP( Aop!$A107, Aop!$A$2:$P$456, ID_Jezik + 6, 1)</f>
        <v xml:space="preserve">    2. Dugoročni krediti u zemlji</v>
      </c>
      <c r="G107" s="285" t="s">
        <v>2637</v>
      </c>
      <c r="H107" s="285" t="s">
        <v>816</v>
      </c>
      <c r="I107" s="288" t="s">
        <v>384</v>
      </c>
      <c r="J107" s="369" t="s">
        <v>763</v>
      </c>
      <c r="K107" s="375">
        <v>413</v>
      </c>
      <c r="L107" s="270">
        <v>413</v>
      </c>
      <c r="M107" s="290">
        <v>413</v>
      </c>
      <c r="N107" s="251">
        <v>413</v>
      </c>
      <c r="O107" s="10"/>
      <c r="P107" s="10"/>
    </row>
    <row r="108" spans="1:16" ht="14.25" customHeight="1">
      <c r="A108">
        <f t="shared" si="1"/>
        <v>107</v>
      </c>
      <c r="B108" t="s">
        <v>2896</v>
      </c>
      <c r="C108">
        <v>2</v>
      </c>
      <c r="D108" s="3">
        <v>140</v>
      </c>
      <c r="E108" s="2">
        <f ca="1">VLOOKUP( Aop!$A108, Aop!$A$2:$P$456, ID_Jezik +10, 1)</f>
        <v>414</v>
      </c>
      <c r="F108" t="str">
        <f ca="1">REPT( "  ", Aop!$C108) &amp; VLOOKUP( Aop!$A108, Aop!$A$2:$P$456, ID_Jezik + 6, 1)</f>
        <v xml:space="preserve">    3. Dugoročni krediti u inostranstvu</v>
      </c>
      <c r="G108" s="285" t="s">
        <v>2638</v>
      </c>
      <c r="H108" s="285" t="s">
        <v>817</v>
      </c>
      <c r="I108" s="288" t="s">
        <v>385</v>
      </c>
      <c r="J108" s="369" t="s">
        <v>764</v>
      </c>
      <c r="K108" s="375">
        <v>414</v>
      </c>
      <c r="L108" s="270">
        <v>414</v>
      </c>
      <c r="M108" s="290">
        <v>414</v>
      </c>
      <c r="N108" s="251">
        <v>414</v>
      </c>
      <c r="O108" s="10"/>
      <c r="P108" s="10"/>
    </row>
    <row r="109" spans="1:16" ht="14.25" customHeight="1">
      <c r="A109">
        <f t="shared" si="1"/>
        <v>108</v>
      </c>
      <c r="B109" t="s">
        <v>2896</v>
      </c>
      <c r="C109">
        <v>2</v>
      </c>
      <c r="D109" s="3">
        <v>141</v>
      </c>
      <c r="E109" s="2">
        <f ca="1">VLOOKUP( Aop!$A109, Aop!$A$2:$P$456, ID_Jezik +10, 1)</f>
        <v>412</v>
      </c>
      <c r="F109" t="str">
        <f ca="1">REPT( "  ", Aop!$C109) &amp; VLOOKUP( Aop!$A109, Aop!$A$2:$P$456, ID_Jezik + 6, 1)</f>
        <v xml:space="preserve">    4. Obaveze po emitovanim dužničkim instrumentima</v>
      </c>
      <c r="G109" s="285" t="s">
        <v>2639</v>
      </c>
      <c r="H109" s="285" t="s">
        <v>818</v>
      </c>
      <c r="I109" s="288" t="s">
        <v>386</v>
      </c>
      <c r="J109" s="369" t="s">
        <v>765</v>
      </c>
      <c r="K109" s="375">
        <v>412</v>
      </c>
      <c r="L109" s="270">
        <v>412</v>
      </c>
      <c r="M109" s="290">
        <v>412</v>
      </c>
      <c r="N109" s="251">
        <v>412</v>
      </c>
      <c r="O109" s="10"/>
      <c r="P109" s="10"/>
    </row>
    <row r="110" spans="1:16" ht="14.25" customHeight="1">
      <c r="A110">
        <f t="shared" si="1"/>
        <v>109</v>
      </c>
      <c r="B110" t="s">
        <v>2896</v>
      </c>
      <c r="C110">
        <v>2</v>
      </c>
      <c r="D110">
        <v>142</v>
      </c>
      <c r="E110" s="2" t="str">
        <f ca="1">VLOOKUP( Aop!$A110, Aop!$A$2:$P$456, ID_Jezik +10, 1)</f>
        <v>415, 416</v>
      </c>
      <c r="F110" t="str">
        <f ca="1">REPT( "  ", Aop!$C110) &amp; VLOOKUP( Aop!$A110, Aop!$A$2:$P$456, ID_Jezik + 6, 1)</f>
        <v xml:space="preserve">    5. Dugoročne obaveze po lizingu</v>
      </c>
      <c r="G110" s="285" t="s">
        <v>2640</v>
      </c>
      <c r="H110" s="285" t="s">
        <v>819</v>
      </c>
      <c r="I110" s="288" t="s">
        <v>387</v>
      </c>
      <c r="J110" s="369" t="s">
        <v>766</v>
      </c>
      <c r="K110" s="375" t="s">
        <v>2004</v>
      </c>
      <c r="L110" s="270" t="s">
        <v>2004</v>
      </c>
      <c r="M110" s="290" t="s">
        <v>2004</v>
      </c>
      <c r="N110" s="251" t="s">
        <v>2004</v>
      </c>
      <c r="O110" s="10"/>
      <c r="P110" s="10"/>
    </row>
    <row r="111" spans="1:16" ht="14.25" customHeight="1">
      <c r="A111">
        <f t="shared" si="1"/>
        <v>110</v>
      </c>
      <c r="B111" t="s">
        <v>2896</v>
      </c>
      <c r="C111">
        <v>2</v>
      </c>
      <c r="D111" s="3">
        <v>143</v>
      </c>
      <c r="E111" s="2" t="str">
        <f ca="1">VLOOKUP( Aop!$A111, Aop!$A$2:$P$456, ID_Jezik +10, 1)</f>
        <v>418</v>
      </c>
      <c r="F111" t="str">
        <f ca="1">REPT( "  ", Aop!$C111) &amp; VLOOKUP( Aop!$A111, Aop!$A$2:$P$456, ID_Jezik + 6, 1)</f>
        <v xml:space="preserve">    6. Ostale dugoročne finansijske obaveze po amortizovanoj vrijednosti</v>
      </c>
      <c r="G111" s="285" t="s">
        <v>975</v>
      </c>
      <c r="H111" s="285" t="s">
        <v>820</v>
      </c>
      <c r="I111" s="288" t="s">
        <v>388</v>
      </c>
      <c r="J111" s="369" t="s">
        <v>767</v>
      </c>
      <c r="K111" s="375" t="s">
        <v>439</v>
      </c>
      <c r="L111" s="270">
        <v>418</v>
      </c>
      <c r="M111" s="290">
        <v>418</v>
      </c>
      <c r="N111" s="251">
        <v>418</v>
      </c>
      <c r="O111" s="10"/>
      <c r="P111" s="10"/>
    </row>
    <row r="112" spans="1:16" ht="14.25" customHeight="1">
      <c r="A112">
        <f t="shared" si="1"/>
        <v>111</v>
      </c>
      <c r="B112" t="s">
        <v>2896</v>
      </c>
      <c r="C112">
        <v>2</v>
      </c>
      <c r="D112" s="3">
        <v>144</v>
      </c>
      <c r="E112" s="2" t="str">
        <f ca="1">VLOOKUP( Aop!$A112, Aop!$A$2:$P$456, ID_Jezik +10, 1)</f>
        <v>dio 409, 410, 419</v>
      </c>
      <c r="F112" t="str">
        <f ca="1">REPT( "  ", Aop!$C112) &amp; VLOOKUP( Aop!$A112, Aop!$A$2:$P$456, ID_Jezik + 6, 1)</f>
        <v xml:space="preserve">    7. Ostale dugoročne obaveze, uključujući razgraničenja</v>
      </c>
      <c r="G112" s="285" t="s">
        <v>976</v>
      </c>
      <c r="H112" s="285" t="s">
        <v>821</v>
      </c>
      <c r="I112" s="288" t="s">
        <v>1381</v>
      </c>
      <c r="J112" s="369" t="s">
        <v>1382</v>
      </c>
      <c r="K112" s="375" t="s">
        <v>431</v>
      </c>
      <c r="L112" s="270" t="s">
        <v>850</v>
      </c>
      <c r="M112" s="290" t="s">
        <v>420</v>
      </c>
      <c r="N112" s="251" t="s">
        <v>83</v>
      </c>
      <c r="O112" s="10"/>
      <c r="P112" s="10"/>
    </row>
    <row r="113" spans="1:16" ht="14.25" customHeight="1">
      <c r="A113">
        <f t="shared" si="1"/>
        <v>112</v>
      </c>
      <c r="B113" t="s">
        <v>2896</v>
      </c>
      <c r="C113">
        <v>1</v>
      </c>
      <c r="D113" s="3">
        <v>145</v>
      </c>
      <c r="E113" s="2">
        <f ca="1">VLOOKUP( Aop!$A113, Aop!$A$2:$P$456, ID_Jezik +10, 1)</f>
        <v>408</v>
      </c>
      <c r="F113" t="str">
        <f ca="1">REPT( "  ", Aop!$C113) &amp; VLOOKUP( Aop!$A113, Aop!$A$2:$P$456, ID_Jezik + 6, 1)</f>
        <v xml:space="preserve">  III RAZGRANIČENI PRIHODI I PRIMLJENE DONACIJE</v>
      </c>
      <c r="G113" s="276" t="s">
        <v>1554</v>
      </c>
      <c r="H113" s="285" t="s">
        <v>822</v>
      </c>
      <c r="I113" s="288" t="s">
        <v>389</v>
      </c>
      <c r="J113" s="369" t="s">
        <v>679</v>
      </c>
      <c r="K113" s="376">
        <v>408</v>
      </c>
      <c r="L113" s="267">
        <v>408</v>
      </c>
      <c r="M113" s="290">
        <v>408</v>
      </c>
      <c r="N113" s="251">
        <v>408</v>
      </c>
      <c r="O113" s="10">
        <v>1</v>
      </c>
      <c r="P113" s="10"/>
    </row>
    <row r="114" spans="1:16" ht="14.25" customHeight="1">
      <c r="A114">
        <f t="shared" si="1"/>
        <v>113</v>
      </c>
      <c r="B114" t="s">
        <v>2896</v>
      </c>
      <c r="C114">
        <v>1</v>
      </c>
      <c r="D114" s="3">
        <v>146</v>
      </c>
      <c r="E114" s="2">
        <f ca="1">VLOOKUP( Aop!$A114, Aop!$A$2:$P$456, ID_Jezik +10, 1)</f>
        <v>407</v>
      </c>
      <c r="F114" t="str">
        <f ca="1">REPT( "  ", Aop!$C114) &amp; VLOOKUP( Aop!$A114, Aop!$A$2:$P$456, ID_Jezik + 6, 1)</f>
        <v xml:space="preserve">  V. ODLOŽENE PORESKE OBAVEZE </v>
      </c>
      <c r="G114" s="276" t="s">
        <v>977</v>
      </c>
      <c r="H114" s="285" t="s">
        <v>823</v>
      </c>
      <c r="I114" s="288" t="s">
        <v>390</v>
      </c>
      <c r="J114" s="369" t="s">
        <v>680</v>
      </c>
      <c r="K114" s="377">
        <v>407</v>
      </c>
      <c r="L114" s="271">
        <v>407</v>
      </c>
      <c r="M114" s="291">
        <v>407</v>
      </c>
      <c r="N114" s="290">
        <v>407</v>
      </c>
      <c r="O114" s="10"/>
      <c r="P114" s="10"/>
    </row>
    <row r="115" spans="1:16" ht="14.25" customHeight="1">
      <c r="A115">
        <f t="shared" si="1"/>
        <v>114</v>
      </c>
      <c r="B115" t="s">
        <v>2896</v>
      </c>
      <c r="C115">
        <v>1</v>
      </c>
      <c r="D115" s="3">
        <v>147</v>
      </c>
      <c r="E115" s="2" t="str">
        <f ca="1">VLOOKUP( Aop!$A115, Aop!$A$2:$P$456, ID_Jezik +10, 1)</f>
        <v>42 do 49</v>
      </c>
      <c r="F115" t="str">
        <f ca="1">REPT( "  ", Aop!$C115) &amp; VLOOKUP( Aop!$A115, Aop!$A$2:$P$456, ID_Jezik + 6, 1)</f>
        <v xml:space="preserve">   G. KRATKOROČNE OBAVEZE I KRATKOROČNA REZERVISANJA(148 + 155 + 161 + 162 + 163 + 164 + 165 + 166 + 167 + 168)</v>
      </c>
      <c r="G115" s="276" t="s">
        <v>1553</v>
      </c>
      <c r="H115" s="285" t="s">
        <v>824</v>
      </c>
      <c r="I115" s="288" t="s">
        <v>391</v>
      </c>
      <c r="J115" s="369" t="s">
        <v>681</v>
      </c>
      <c r="K115" s="375" t="s">
        <v>2005</v>
      </c>
      <c r="L115" s="270" t="s">
        <v>2006</v>
      </c>
      <c r="M115" s="290" t="s">
        <v>2007</v>
      </c>
      <c r="N115" s="290" t="s">
        <v>2006</v>
      </c>
      <c r="O115" s="10"/>
      <c r="P115" s="10"/>
    </row>
    <row r="116" spans="1:16" ht="14.25" customHeight="1">
      <c r="A116">
        <f t="shared" si="1"/>
        <v>115</v>
      </c>
      <c r="B116" t="s">
        <v>2896</v>
      </c>
      <c r="C116">
        <v>2</v>
      </c>
      <c r="D116" s="3">
        <v>148</v>
      </c>
      <c r="E116" s="2">
        <f ca="1">VLOOKUP( Aop!$A116, Aop!$A$2:$P$456, ID_Jezik +10, 1)</f>
        <v>42</v>
      </c>
      <c r="F116" t="str">
        <f ca="1">REPT( "  ", Aop!$C116) &amp; VLOOKUP( Aop!$A116, Aop!$A$2:$P$456, ID_Jezik + 6, 1)</f>
        <v xml:space="preserve">    1. Kratkoročne finansijske obaveze (149 do 154)</v>
      </c>
      <c r="G116" s="285" t="s">
        <v>978</v>
      </c>
      <c r="H116" s="285" t="s">
        <v>825</v>
      </c>
      <c r="I116" s="288" t="s">
        <v>392</v>
      </c>
      <c r="J116" s="369" t="s">
        <v>682</v>
      </c>
      <c r="K116" s="375">
        <v>42</v>
      </c>
      <c r="L116" s="270">
        <v>42</v>
      </c>
      <c r="M116" s="290">
        <v>42</v>
      </c>
      <c r="N116" s="290">
        <v>42</v>
      </c>
      <c r="O116" s="10"/>
      <c r="P116" s="10"/>
    </row>
    <row r="117" spans="1:16" ht="14.25" customHeight="1">
      <c r="A117">
        <f t="shared" si="1"/>
        <v>116</v>
      </c>
      <c r="B117" t="s">
        <v>2896</v>
      </c>
      <c r="C117">
        <v>3</v>
      </c>
      <c r="D117" s="3">
        <v>149</v>
      </c>
      <c r="E117" s="2">
        <f ca="1">VLOOKUP( Aop!$A117, Aop!$A$2:$P$456, ID_Jezik +10, 1)</f>
        <v>420</v>
      </c>
      <c r="F117" t="str">
        <f ca="1">REPT( "  ", Aop!$C117) &amp; VLOOKUP( Aop!$A117, Aop!$A$2:$P$456, ID_Jezik + 6, 1)</f>
        <v xml:space="preserve">      1.1. Kratkoročne finansijske obaveze prema povezanim pravnim licima</v>
      </c>
      <c r="G117" s="285" t="s">
        <v>979</v>
      </c>
      <c r="H117" s="285" t="s">
        <v>826</v>
      </c>
      <c r="I117" s="288" t="s">
        <v>393</v>
      </c>
      <c r="J117" s="369" t="s">
        <v>755</v>
      </c>
      <c r="K117" s="375">
        <v>420</v>
      </c>
      <c r="L117" s="270">
        <v>420</v>
      </c>
      <c r="M117" s="290">
        <v>420</v>
      </c>
      <c r="N117" s="290">
        <v>420</v>
      </c>
      <c r="O117" s="10"/>
      <c r="P117" s="10"/>
    </row>
    <row r="118" spans="1:16" ht="14.25" customHeight="1">
      <c r="A118">
        <f t="shared" si="1"/>
        <v>117</v>
      </c>
      <c r="B118" t="s">
        <v>2896</v>
      </c>
      <c r="C118">
        <v>3</v>
      </c>
      <c r="D118" s="3">
        <v>150</v>
      </c>
      <c r="E118" s="2" t="str">
        <f ca="1">VLOOKUP( Aop!$A118, Aop!$A$2:$P$456, ID_Jezik +10, 1)</f>
        <v>421 do 424</v>
      </c>
      <c r="F118" t="str">
        <f ca="1">REPT( "  ", Aop!$C118) &amp; VLOOKUP( Aop!$A118, Aop!$A$2:$P$456, ID_Jezik + 6, 1)</f>
        <v xml:space="preserve">      1.2. Kratkoročni krediti i obaveze po emitovanim kratkoročnim hartijama od vrijednosti</v>
      </c>
      <c r="G118" s="285" t="s">
        <v>980</v>
      </c>
      <c r="H118" s="285" t="s">
        <v>827</v>
      </c>
      <c r="I118" s="288" t="s">
        <v>394</v>
      </c>
      <c r="J118" s="369" t="s">
        <v>756</v>
      </c>
      <c r="K118" s="375" t="s">
        <v>432</v>
      </c>
      <c r="L118" s="270" t="s">
        <v>851</v>
      </c>
      <c r="M118" s="290" t="s">
        <v>421</v>
      </c>
      <c r="N118" s="290" t="s">
        <v>851</v>
      </c>
      <c r="O118" s="10"/>
      <c r="P118" s="10"/>
    </row>
    <row r="119" spans="1:16" ht="14.25" customHeight="1">
      <c r="A119">
        <f t="shared" si="1"/>
        <v>118</v>
      </c>
      <c r="B119" t="s">
        <v>2896</v>
      </c>
      <c r="C119">
        <v>3</v>
      </c>
      <c r="D119" s="3">
        <v>151</v>
      </c>
      <c r="E119" s="2" t="str">
        <f ca="1">VLOOKUP( Aop!$A119, Aop!$A$2:$P$456, ID_Jezik +10, 1)</f>
        <v>425 i 426</v>
      </c>
      <c r="F119" t="str">
        <f ca="1">REPT( "  ", Aop!$C119) &amp; VLOOKUP( Aop!$A119, Aop!$A$2:$P$456, ID_Jezik + 6, 1)</f>
        <v xml:space="preserve">      1.3. Kratkoročne obaveze po lizingu</v>
      </c>
      <c r="G119" s="285" t="s">
        <v>981</v>
      </c>
      <c r="H119" s="285" t="s">
        <v>828</v>
      </c>
      <c r="I119" s="288" t="s">
        <v>395</v>
      </c>
      <c r="J119" s="369" t="s">
        <v>754</v>
      </c>
      <c r="K119" s="375" t="s">
        <v>433</v>
      </c>
      <c r="L119" s="270" t="s">
        <v>852</v>
      </c>
      <c r="M119" s="290" t="s">
        <v>422</v>
      </c>
      <c r="N119" s="290" t="s">
        <v>852</v>
      </c>
      <c r="O119" s="10"/>
      <c r="P119" s="10"/>
    </row>
    <row r="120" spans="1:16" ht="14.25" customHeight="1">
      <c r="A120">
        <f t="shared" si="1"/>
        <v>119</v>
      </c>
      <c r="B120" t="s">
        <v>2896</v>
      </c>
      <c r="C120">
        <v>3</v>
      </c>
      <c r="D120" s="3">
        <v>152</v>
      </c>
      <c r="E120" s="2">
        <f ca="1">VLOOKUP( Aop!$A120, Aop!$A$2:$P$456, ID_Jezik +10, 1)</f>
        <v>427</v>
      </c>
      <c r="F120" t="str">
        <f ca="1">REPT( "  ", Aop!$C120) &amp; VLOOKUP( Aop!$A120, Aop!$A$2:$P$456, ID_Jezik + 6, 1)</f>
        <v xml:space="preserve">      1.4. Kratkoročne obaveze po fer vrijednosti kroz bilans uspjeha</v>
      </c>
      <c r="G120" s="285" t="s">
        <v>982</v>
      </c>
      <c r="H120" s="285" t="s">
        <v>829</v>
      </c>
      <c r="I120" s="288" t="s">
        <v>396</v>
      </c>
      <c r="J120" s="369" t="s">
        <v>751</v>
      </c>
      <c r="K120" s="375">
        <v>427</v>
      </c>
      <c r="L120" s="270">
        <v>427</v>
      </c>
      <c r="M120" s="290">
        <v>427</v>
      </c>
      <c r="N120" s="290">
        <v>427</v>
      </c>
      <c r="O120" s="10"/>
      <c r="P120" s="10"/>
    </row>
    <row r="121" spans="1:16" ht="14.25" customHeight="1">
      <c r="A121">
        <f t="shared" si="1"/>
        <v>120</v>
      </c>
      <c r="B121" t="s">
        <v>2896</v>
      </c>
      <c r="C121">
        <v>3</v>
      </c>
      <c r="D121" s="3">
        <v>153</v>
      </c>
      <c r="E121" s="2">
        <f ca="1">VLOOKUP( Aop!$A121, Aop!$A$2:$P$456, ID_Jezik +10, 1)</f>
        <v>428</v>
      </c>
      <c r="F121" t="str">
        <f ca="1">REPT( "  ", Aop!$C121) &amp; VLOOKUP( Aop!$A121, Aop!$A$2:$P$456, ID_Jezik + 6, 1)</f>
        <v xml:space="preserve">      1.5. Derivatne finansijske obaveze</v>
      </c>
      <c r="G121" s="285" t="s">
        <v>983</v>
      </c>
      <c r="H121" s="285" t="s">
        <v>830</v>
      </c>
      <c r="I121" s="288" t="s">
        <v>397</v>
      </c>
      <c r="J121" s="369" t="s">
        <v>752</v>
      </c>
      <c r="K121" s="375">
        <v>428</v>
      </c>
      <c r="L121" s="270">
        <v>428</v>
      </c>
      <c r="M121" s="290">
        <v>428</v>
      </c>
      <c r="N121" s="290">
        <v>428</v>
      </c>
      <c r="O121" s="10"/>
      <c r="P121" s="10"/>
    </row>
    <row r="122" spans="1:16" ht="14.25" customHeight="1">
      <c r="A122">
        <f t="shared" si="1"/>
        <v>121</v>
      </c>
      <c r="B122" t="s">
        <v>2896</v>
      </c>
      <c r="C122">
        <v>3</v>
      </c>
      <c r="D122" s="3">
        <v>154</v>
      </c>
      <c r="E122" s="2">
        <f ca="1">VLOOKUP( Aop!$A122, Aop!$A$2:$P$456, ID_Jezik +10, 1)</f>
        <v>429</v>
      </c>
      <c r="F122" t="str">
        <f ca="1">REPT( "  ", Aop!$C122) &amp; VLOOKUP( Aop!$A122, Aop!$A$2:$P$456, ID_Jezik + 6, 1)</f>
        <v xml:space="preserve">      1.6. Ostale obaveze po amortizovanoj vrijednosti</v>
      </c>
      <c r="G122" s="285" t="s">
        <v>984</v>
      </c>
      <c r="H122" s="285" t="s">
        <v>831</v>
      </c>
      <c r="I122" s="288" t="s">
        <v>398</v>
      </c>
      <c r="J122" s="369" t="s">
        <v>753</v>
      </c>
      <c r="K122" s="375">
        <v>429</v>
      </c>
      <c r="L122" s="270">
        <v>429</v>
      </c>
      <c r="M122" s="290">
        <v>429</v>
      </c>
      <c r="N122" s="290">
        <v>429</v>
      </c>
      <c r="O122" s="10"/>
      <c r="P122" s="10"/>
    </row>
    <row r="123" spans="1:16" ht="13.5" customHeight="1">
      <c r="A123">
        <f t="shared" si="1"/>
        <v>122</v>
      </c>
      <c r="B123" t="s">
        <v>2896</v>
      </c>
      <c r="C123">
        <v>2</v>
      </c>
      <c r="D123" s="3">
        <v>155</v>
      </c>
      <c r="E123" s="2">
        <f ca="1">VLOOKUP( Aop!$A123, Aop!$A$2:$P$456, ID_Jezik +10, 1)</f>
        <v>43</v>
      </c>
      <c r="F123" t="str">
        <f ca="1">REPT( "  ", Aop!$C123) &amp; VLOOKUP( Aop!$A123, Aop!$A$2:$P$456, ID_Jezik + 6, 1)</f>
        <v xml:space="preserve">    2. Obaveze iz poslovanja (156 do 160)</v>
      </c>
      <c r="G123" s="285" t="s">
        <v>985</v>
      </c>
      <c r="H123" s="285" t="s">
        <v>832</v>
      </c>
      <c r="I123" s="288" t="s">
        <v>399</v>
      </c>
      <c r="J123" s="369" t="s">
        <v>683</v>
      </c>
      <c r="K123" s="375">
        <v>43</v>
      </c>
      <c r="L123" s="270">
        <v>43</v>
      </c>
      <c r="M123" s="290">
        <v>43</v>
      </c>
      <c r="N123" s="290">
        <v>43</v>
      </c>
      <c r="O123" s="10"/>
      <c r="P123" s="10"/>
    </row>
    <row r="124" spans="1:16" ht="13.5" customHeight="1">
      <c r="A124">
        <f t="shared" si="1"/>
        <v>123</v>
      </c>
      <c r="B124" t="s">
        <v>2896</v>
      </c>
      <c r="C124">
        <v>3</v>
      </c>
      <c r="D124" s="3">
        <v>156</v>
      </c>
      <c r="E124" s="2" t="str">
        <f ca="1">VLOOKUP( Aop!$A124, Aop!$A$2:$P$456, ID_Jezik +10, 1)</f>
        <v>430 i 436</v>
      </c>
      <c r="F124" t="str">
        <f ca="1">REPT( "  ", Aop!$C124) &amp; VLOOKUP( Aop!$A124, Aop!$A$2:$P$456, ID_Jezik + 6, 1)</f>
        <v xml:space="preserve">      2.1. Primljeni avansi, depoziti i kaucije</v>
      </c>
      <c r="G124" s="285" t="s">
        <v>986</v>
      </c>
      <c r="H124" s="285" t="s">
        <v>833</v>
      </c>
      <c r="I124" s="288" t="s">
        <v>400</v>
      </c>
      <c r="J124" s="369" t="s">
        <v>761</v>
      </c>
      <c r="K124" s="375" t="s">
        <v>440</v>
      </c>
      <c r="L124" s="270" t="s">
        <v>853</v>
      </c>
      <c r="M124" s="290" t="s">
        <v>423</v>
      </c>
      <c r="N124" s="290" t="s">
        <v>853</v>
      </c>
      <c r="O124" s="10"/>
      <c r="P124" s="10"/>
    </row>
    <row r="125" spans="1:16" ht="13.5" customHeight="1">
      <c r="A125">
        <f t="shared" si="1"/>
        <v>124</v>
      </c>
      <c r="B125" t="s">
        <v>2896</v>
      </c>
      <c r="C125">
        <v>3</v>
      </c>
      <c r="D125" s="3">
        <v>157</v>
      </c>
      <c r="E125" s="2">
        <f ca="1">VLOOKUP( Aop!$A125, Aop!$A$2:$P$456, ID_Jezik +10, 1)</f>
        <v>431</v>
      </c>
      <c r="F125" t="str">
        <f ca="1">REPT( "  ", Aop!$C125) &amp; VLOOKUP( Aop!$A125, Aop!$A$2:$P$456, ID_Jezik + 6, 1)</f>
        <v xml:space="preserve">      2.2. Dobavljači – povezana pravna lica</v>
      </c>
      <c r="G125" s="285" t="s">
        <v>987</v>
      </c>
      <c r="H125" s="285" t="s">
        <v>834</v>
      </c>
      <c r="I125" s="288" t="s">
        <v>401</v>
      </c>
      <c r="J125" s="369" t="s">
        <v>760</v>
      </c>
      <c r="K125" s="375">
        <v>431</v>
      </c>
      <c r="L125" s="270">
        <v>431</v>
      </c>
      <c r="M125" s="290">
        <v>431</v>
      </c>
      <c r="N125" s="290">
        <v>431</v>
      </c>
      <c r="O125" s="10"/>
      <c r="P125" s="10"/>
    </row>
    <row r="126" spans="1:16" ht="13.5" customHeight="1">
      <c r="A126">
        <f t="shared" si="1"/>
        <v>125</v>
      </c>
      <c r="B126" t="s">
        <v>2896</v>
      </c>
      <c r="C126">
        <v>3</v>
      </c>
      <c r="D126" s="3">
        <v>158</v>
      </c>
      <c r="E126" s="2" t="str">
        <f ca="1">VLOOKUP( Aop!$A126, Aop!$A$2:$P$456, ID_Jezik +10, 1)</f>
        <v>432, 433, 434</v>
      </c>
      <c r="F126" t="str">
        <f ca="1">REPT( "  ", Aop!$C126) &amp; VLOOKUP( Aop!$A126, Aop!$A$2:$P$456, ID_Jezik + 6, 1)</f>
        <v xml:space="preserve">      2.3. Dobavljači u zemlji</v>
      </c>
      <c r="G126" s="285" t="s">
        <v>988</v>
      </c>
      <c r="H126" s="285" t="s">
        <v>835</v>
      </c>
      <c r="I126" s="288" t="s">
        <v>402</v>
      </c>
      <c r="J126" s="369" t="s">
        <v>759</v>
      </c>
      <c r="K126" s="375" t="s">
        <v>2008</v>
      </c>
      <c r="L126" s="270" t="s">
        <v>2008</v>
      </c>
      <c r="M126" s="290" t="s">
        <v>2008</v>
      </c>
      <c r="N126" s="290" t="s">
        <v>2008</v>
      </c>
      <c r="O126" s="10"/>
      <c r="P126" s="10"/>
    </row>
    <row r="127" spans="1:16" ht="13.5" customHeight="1">
      <c r="A127">
        <f t="shared" si="1"/>
        <v>126</v>
      </c>
      <c r="B127" t="s">
        <v>2896</v>
      </c>
      <c r="C127">
        <v>3</v>
      </c>
      <c r="D127" s="3">
        <v>159</v>
      </c>
      <c r="E127" s="2">
        <f ca="1">VLOOKUP( Aop!$A127, Aop!$A$2:$P$456, ID_Jezik +10, 1)</f>
        <v>435</v>
      </c>
      <c r="F127" t="str">
        <f ca="1">REPT( "  ", Aop!$C127) &amp; VLOOKUP( Aop!$A127, Aop!$A$2:$P$456, ID_Jezik + 6, 1)</f>
        <v xml:space="preserve">      2.4. Dobavljači iz inostranstva</v>
      </c>
      <c r="G127" s="285" t="s">
        <v>989</v>
      </c>
      <c r="H127" s="285" t="s">
        <v>836</v>
      </c>
      <c r="I127" s="288" t="s">
        <v>403</v>
      </c>
      <c r="J127" s="369" t="s">
        <v>758</v>
      </c>
      <c r="K127" s="375">
        <v>435</v>
      </c>
      <c r="L127" s="270">
        <v>435</v>
      </c>
      <c r="M127" s="290">
        <v>435</v>
      </c>
      <c r="N127" s="290">
        <v>435</v>
      </c>
      <c r="O127" s="10"/>
      <c r="P127" s="10"/>
    </row>
    <row r="128" spans="1:16" ht="13.5" customHeight="1">
      <c r="A128">
        <f t="shared" si="1"/>
        <v>127</v>
      </c>
      <c r="B128" t="s">
        <v>2896</v>
      </c>
      <c r="C128">
        <v>3</v>
      </c>
      <c r="D128" s="3">
        <v>160</v>
      </c>
      <c r="E128" s="2" t="str">
        <f ca="1">VLOOKUP( Aop!$A128, Aop!$A$2:$P$456, ID_Jezik +10, 1)</f>
        <v>437, 439</v>
      </c>
      <c r="F128" t="str">
        <f ca="1">REPT( "  ", Aop!$C128) &amp; VLOOKUP( Aop!$A128, Aop!$A$2:$P$456, ID_Jezik + 6, 1)</f>
        <v xml:space="preserve">      2.5. Ostale obaveze iz poslovanja</v>
      </c>
      <c r="G128" s="285" t="s">
        <v>990</v>
      </c>
      <c r="H128" s="285" t="s">
        <v>837</v>
      </c>
      <c r="I128" s="288" t="s">
        <v>404</v>
      </c>
      <c r="J128" s="369" t="s">
        <v>757</v>
      </c>
      <c r="K128" s="375" t="s">
        <v>854</v>
      </c>
      <c r="L128" s="270" t="s">
        <v>854</v>
      </c>
      <c r="M128" s="290" t="s">
        <v>854</v>
      </c>
      <c r="N128" s="290" t="s">
        <v>84</v>
      </c>
      <c r="O128" s="10"/>
      <c r="P128" s="10"/>
    </row>
    <row r="129" spans="1:16" ht="13.5" customHeight="1">
      <c r="A129">
        <f t="shared" si="1"/>
        <v>128</v>
      </c>
      <c r="B129" t="s">
        <v>2896</v>
      </c>
      <c r="C129">
        <v>2</v>
      </c>
      <c r="D129" s="3">
        <v>161</v>
      </c>
      <c r="E129" s="2" t="str">
        <f ca="1">VLOOKUP( Aop!$A129, Aop!$A$2:$P$456, ID_Jezik +10, 1)</f>
        <v>440 do 449</v>
      </c>
      <c r="F129" t="str">
        <f ca="1">REPT( "  ", Aop!$C129) &amp; VLOOKUP( Aop!$A129, Aop!$A$2:$P$456, ID_Jezik + 6, 1)</f>
        <v xml:space="preserve">    3. Obaveze iz specifičnih poslova</v>
      </c>
      <c r="G129" s="285" t="s">
        <v>1404</v>
      </c>
      <c r="H129" s="285" t="s">
        <v>1806</v>
      </c>
      <c r="I129" s="288" t="s">
        <v>405</v>
      </c>
      <c r="J129" s="369" t="s">
        <v>684</v>
      </c>
      <c r="K129" s="375" t="s">
        <v>1502</v>
      </c>
      <c r="L129" s="270" t="s">
        <v>2009</v>
      </c>
      <c r="M129" s="290" t="s">
        <v>1414</v>
      </c>
      <c r="N129" s="290" t="s">
        <v>2009</v>
      </c>
      <c r="O129" s="10"/>
      <c r="P129" s="10"/>
    </row>
    <row r="130" spans="1:16" ht="13.5" customHeight="1">
      <c r="A130">
        <f t="shared" ref="A130:A197" si="2">ROW()-ROW($A$1)</f>
        <v>129</v>
      </c>
      <c r="B130" t="s">
        <v>2896</v>
      </c>
      <c r="C130">
        <v>2</v>
      </c>
      <c r="D130">
        <v>162</v>
      </c>
      <c r="E130" s="2" t="str">
        <f ca="1">VLOOKUP( Aop!$A130, Aop!$A$2:$P$456, ID_Jezik +10, 1)</f>
        <v>450 do 458</v>
      </c>
      <c r="F130" t="str">
        <f ca="1">REPT( "  ", Aop!$C130) &amp; VLOOKUP( Aop!$A130, Aop!$A$2:$P$456, ID_Jezik + 6, 1)</f>
        <v xml:space="preserve">    4. Obaveze za plate i naknade plata</v>
      </c>
      <c r="G130" s="285" t="s">
        <v>2260</v>
      </c>
      <c r="H130" s="285" t="s">
        <v>2261</v>
      </c>
      <c r="I130" s="288" t="s">
        <v>406</v>
      </c>
      <c r="J130" s="369" t="s">
        <v>685</v>
      </c>
      <c r="K130" s="375" t="s">
        <v>1503</v>
      </c>
      <c r="L130" s="270" t="s">
        <v>2010</v>
      </c>
      <c r="M130" s="290" t="s">
        <v>1415</v>
      </c>
      <c r="N130" s="290" t="s">
        <v>2010</v>
      </c>
      <c r="O130" s="10"/>
      <c r="P130" s="10"/>
    </row>
    <row r="131" spans="1:16" ht="13.5" customHeight="1">
      <c r="A131">
        <f t="shared" si="2"/>
        <v>130</v>
      </c>
      <c r="B131" t="s">
        <v>2896</v>
      </c>
      <c r="C131">
        <v>2</v>
      </c>
      <c r="D131" s="3">
        <v>163</v>
      </c>
      <c r="E131" s="2" t="str">
        <f ca="1">VLOOKUP( Aop!$A131, Aop!$A$2:$P$456, ID_Jezik +10, 1)</f>
        <v>460 do 468</v>
      </c>
      <c r="F131" t="str">
        <f ca="1">REPT( "  ", Aop!$C131) &amp; VLOOKUP( Aop!$A131, Aop!$A$2:$P$456, ID_Jezik + 6, 1)</f>
        <v xml:space="preserve">    5. Ostale obaveze</v>
      </c>
      <c r="G131" s="285" t="s">
        <v>991</v>
      </c>
      <c r="H131" s="285" t="s">
        <v>838</v>
      </c>
      <c r="I131" s="288" t="s">
        <v>407</v>
      </c>
      <c r="J131" s="369" t="s">
        <v>686</v>
      </c>
      <c r="K131" s="375" t="s">
        <v>434</v>
      </c>
      <c r="L131" s="270" t="s">
        <v>855</v>
      </c>
      <c r="M131" s="290" t="s">
        <v>424</v>
      </c>
      <c r="N131" s="290" t="s">
        <v>85</v>
      </c>
      <c r="O131" s="10"/>
      <c r="P131" s="10"/>
    </row>
    <row r="132" spans="1:16" ht="13.5" customHeight="1">
      <c r="A132">
        <f t="shared" si="2"/>
        <v>131</v>
      </c>
      <c r="B132" t="s">
        <v>2896</v>
      </c>
      <c r="C132">
        <v>2</v>
      </c>
      <c r="D132" s="3">
        <v>164</v>
      </c>
      <c r="E132" s="2" t="str">
        <f ca="1">VLOOKUP( Aop!$A132, Aop!$A$2:$P$456, ID_Jezik +10, 1)</f>
        <v>470 do 479</v>
      </c>
      <c r="F132" t="str">
        <f ca="1">REPT( "  ", Aop!$C132) &amp; VLOOKUP( Aop!$A132, Aop!$A$2:$P$456, ID_Jezik + 6, 1)</f>
        <v xml:space="preserve">    6. Porez na dodatu vrijednost</v>
      </c>
      <c r="G132" s="285" t="s">
        <v>1499</v>
      </c>
      <c r="H132" s="285" t="s">
        <v>1807</v>
      </c>
      <c r="I132" s="288" t="s">
        <v>408</v>
      </c>
      <c r="J132" s="369" t="s">
        <v>687</v>
      </c>
      <c r="K132" s="375" t="s">
        <v>1504</v>
      </c>
      <c r="L132" s="270" t="s">
        <v>2011</v>
      </c>
      <c r="M132" s="290" t="s">
        <v>1416</v>
      </c>
      <c r="N132" s="290" t="s">
        <v>2011</v>
      </c>
      <c r="O132" s="10"/>
      <c r="P132" s="10"/>
    </row>
    <row r="133" spans="1:16" ht="13.5" customHeight="1">
      <c r="A133">
        <f t="shared" si="2"/>
        <v>132</v>
      </c>
      <c r="B133" t="s">
        <v>2896</v>
      </c>
      <c r="C133">
        <v>2</v>
      </c>
      <c r="D133" s="3">
        <v>165</v>
      </c>
      <c r="E133" s="2" t="str">
        <f ca="1">VLOOKUP( Aop!$A133, Aop!$A$2:$P$456, ID_Jezik +10, 1)</f>
        <v>48, osim 481</v>
      </c>
      <c r="F133" t="str">
        <f ca="1">REPT( "  ", Aop!$C133) &amp; VLOOKUP( Aop!$A133, Aop!$A$2:$P$456, ID_Jezik + 6, 1)</f>
        <v xml:space="preserve">    7. Obaveze za ostale poreze, doprinose i druge dažbine</v>
      </c>
      <c r="G133" s="285" t="s">
        <v>1500</v>
      </c>
      <c r="H133" s="285" t="s">
        <v>1808</v>
      </c>
      <c r="I133" s="288" t="s">
        <v>409</v>
      </c>
      <c r="J133" s="369" t="s">
        <v>688</v>
      </c>
      <c r="K133" s="375" t="s">
        <v>2012</v>
      </c>
      <c r="L133" s="270" t="s">
        <v>2013</v>
      </c>
      <c r="M133" s="290" t="s">
        <v>2014</v>
      </c>
      <c r="N133" s="290" t="s">
        <v>86</v>
      </c>
      <c r="O133" s="10">
        <v>1</v>
      </c>
      <c r="P133" s="10"/>
    </row>
    <row r="134" spans="1:16" s="353" customFormat="1" ht="13.5" customHeight="1">
      <c r="A134" s="336">
        <f t="shared" si="2"/>
        <v>133</v>
      </c>
      <c r="B134" s="336" t="s">
        <v>2896</v>
      </c>
      <c r="C134" s="336">
        <v>2</v>
      </c>
      <c r="D134" s="337">
        <v>166</v>
      </c>
      <c r="E134" s="338">
        <f ca="1">VLOOKUP( Aop!$A134, Aop!$A$2:$P$456, ID_Jezik +10, 1)</f>
        <v>481</v>
      </c>
      <c r="F134" s="336" t="str">
        <f ca="1">REPT( "  ", Aop!$C134) &amp; VLOOKUP( Aop!$A134, Aop!$A$2:$P$456, ID_Jezik + 6, 1)</f>
        <v xml:space="preserve">    8. Obaveze za porez na dobit</v>
      </c>
      <c r="G134" s="310" t="s">
        <v>992</v>
      </c>
      <c r="H134" s="310" t="s">
        <v>839</v>
      </c>
      <c r="I134" s="339" t="s">
        <v>410</v>
      </c>
      <c r="J134" s="378" t="s">
        <v>689</v>
      </c>
      <c r="K134" s="375">
        <v>481</v>
      </c>
      <c r="L134" s="270">
        <v>481</v>
      </c>
      <c r="M134" s="290">
        <v>481</v>
      </c>
      <c r="N134" s="290">
        <v>481</v>
      </c>
      <c r="O134" s="341">
        <v>1</v>
      </c>
      <c r="P134" s="341"/>
    </row>
    <row r="135" spans="1:16" ht="13.5" customHeight="1">
      <c r="A135">
        <f t="shared" si="2"/>
        <v>134</v>
      </c>
      <c r="B135" t="s">
        <v>2896</v>
      </c>
      <c r="C135">
        <v>2</v>
      </c>
      <c r="D135" s="337">
        <v>167</v>
      </c>
      <c r="E135" s="338" t="str">
        <f ca="1">VLOOKUP( Aop!$A135, Aop!$A$2:$P$456, ID_Jezik +10, 1)</f>
        <v>49, osim 496</v>
      </c>
      <c r="F135" s="336" t="str">
        <f ca="1">REPT( "  ", Aop!$C135) &amp; VLOOKUP( Aop!$A135, Aop!$A$2:$P$456, ID_Jezik + 6, 1)</f>
        <v xml:space="preserve">    9. Kratkoročna razgraničenja</v>
      </c>
      <c r="G135" s="285" t="s">
        <v>993</v>
      </c>
      <c r="H135" s="285" t="s">
        <v>840</v>
      </c>
      <c r="I135" s="288" t="s">
        <v>411</v>
      </c>
      <c r="J135" s="369" t="s">
        <v>690</v>
      </c>
      <c r="K135" s="290" t="s">
        <v>435</v>
      </c>
      <c r="L135" s="290" t="s">
        <v>856</v>
      </c>
      <c r="M135" s="290" t="s">
        <v>425</v>
      </c>
      <c r="N135" s="290" t="s">
        <v>87</v>
      </c>
      <c r="O135" s="10"/>
      <c r="P135" s="10"/>
    </row>
    <row r="136" spans="1:16" ht="13.5" customHeight="1">
      <c r="A136">
        <f t="shared" si="2"/>
        <v>135</v>
      </c>
      <c r="B136" t="s">
        <v>2896</v>
      </c>
      <c r="C136">
        <v>2</v>
      </c>
      <c r="D136" s="57">
        <v>168</v>
      </c>
      <c r="E136" s="2">
        <f ca="1">VLOOKUP( Aop!$A136, Aop!$A$2:$P$456, ID_Jezik +10, 1)</f>
        <v>496</v>
      </c>
      <c r="F136" t="str">
        <f ca="1">REPT( "  ", Aop!$C136) &amp; VLOOKUP( Aop!$A136, Aop!$A$2:$P$456, ID_Jezik + 6, 1)</f>
        <v xml:space="preserve">    10. Kratkoročna rezervisanja</v>
      </c>
      <c r="G136" s="285" t="s">
        <v>994</v>
      </c>
      <c r="H136" s="285" t="s">
        <v>841</v>
      </c>
      <c r="I136" s="288" t="s">
        <v>412</v>
      </c>
      <c r="J136" s="369" t="s">
        <v>691</v>
      </c>
      <c r="K136" s="290">
        <v>496</v>
      </c>
      <c r="L136" s="290">
        <v>496</v>
      </c>
      <c r="M136" s="290">
        <v>496</v>
      </c>
      <c r="N136" s="290">
        <v>496</v>
      </c>
      <c r="O136" s="10"/>
      <c r="P136" s="10"/>
    </row>
    <row r="137" spans="1:16" ht="13.5" customHeight="1">
      <c r="A137">
        <f t="shared" si="2"/>
        <v>136</v>
      </c>
      <c r="B137" t="s">
        <v>2896</v>
      </c>
      <c r="D137" s="57"/>
      <c r="E137" s="2"/>
      <c r="F137" t="str">
        <f ca="1">REPT( "  ", Aop!$C137) &amp; VLOOKUP( Aop!$A137, Aop!$A$2:$P$456, ID_Jezik + 6, 1)</f>
        <v/>
      </c>
      <c r="I137" s="288"/>
      <c r="J137" s="295"/>
      <c r="K137" s="290"/>
      <c r="L137" s="290"/>
      <c r="M137" s="290"/>
      <c r="N137" s="290"/>
      <c r="O137" s="10"/>
      <c r="P137" s="10"/>
    </row>
    <row r="138" spans="1:16" ht="13.5" customHeight="1">
      <c r="A138">
        <f t="shared" si="2"/>
        <v>137</v>
      </c>
      <c r="B138" t="s">
        <v>2896</v>
      </c>
      <c r="C138">
        <v>1</v>
      </c>
      <c r="D138">
        <v>169</v>
      </c>
      <c r="E138" s="2"/>
      <c r="F138" t="str">
        <f ca="1">REPT( "  ", Aop!$C138) &amp; VLOOKUP( Aop!$A138, Aop!$A$2:$P$456, ID_Jezik + 6, 1)</f>
        <v xml:space="preserve">  D. BILANSNA PASIVA (101 + 132 + 146 + 147)</v>
      </c>
      <c r="G138" s="276" t="s">
        <v>995</v>
      </c>
      <c r="H138" s="285" t="s">
        <v>842</v>
      </c>
      <c r="I138" s="288" t="s">
        <v>413</v>
      </c>
      <c r="J138" s="369" t="s">
        <v>692</v>
      </c>
      <c r="K138" s="290"/>
      <c r="L138" s="290"/>
      <c r="M138" s="290"/>
      <c r="N138" s="290"/>
      <c r="O138" s="10"/>
      <c r="P138" s="10"/>
    </row>
    <row r="139" spans="1:16" ht="13.5" customHeight="1">
      <c r="A139">
        <f t="shared" si="2"/>
        <v>138</v>
      </c>
      <c r="B139" s="225" t="s">
        <v>2896</v>
      </c>
      <c r="C139" s="225">
        <v>1</v>
      </c>
      <c r="D139" s="366">
        <v>170</v>
      </c>
      <c r="E139" s="2" t="str">
        <f ca="1">VLOOKUP( Aop!$A139, Aop!$A$2:$P$456, ID_Jezik +10, 1)</f>
        <v>890 do 898</v>
      </c>
      <c r="F139" t="str">
        <f ca="1">REPT( "  ", Aop!$C139) &amp; VLOOKUP( Aop!$A139, Aop!$A$2:$P$456, ID_Jezik + 6, 1)</f>
        <v xml:space="preserve">  Đ. VANBILANSNA PASIVA</v>
      </c>
      <c r="G139" s="276" t="s">
        <v>996</v>
      </c>
      <c r="H139" s="285" t="s">
        <v>843</v>
      </c>
      <c r="I139" s="288" t="s">
        <v>1424</v>
      </c>
      <c r="J139" s="369" t="s">
        <v>693</v>
      </c>
      <c r="K139" s="290" t="s">
        <v>1138</v>
      </c>
      <c r="L139" s="290" t="s">
        <v>88</v>
      </c>
      <c r="M139" s="290" t="s">
        <v>1417</v>
      </c>
      <c r="N139" s="290" t="s">
        <v>88</v>
      </c>
      <c r="O139" s="10"/>
      <c r="P139" s="10"/>
    </row>
    <row r="140" spans="1:16" ht="37.5" customHeight="1">
      <c r="A140">
        <f t="shared" si="2"/>
        <v>139</v>
      </c>
      <c r="B140" t="s">
        <v>2377</v>
      </c>
      <c r="C140">
        <v>1</v>
      </c>
      <c r="D140">
        <v>201</v>
      </c>
      <c r="E140" s="2">
        <f ca="1">VLOOKUP( Aop!$A140, Aop!$A$2:$P$456, ID_Jezik +10, 1)</f>
        <v>0</v>
      </c>
      <c r="F140" t="str">
        <f ca="1">REPT( "  ", Aop!$C140) &amp; VLOOKUP( Aop!$A140, Aop!$A$2:$P$456, ID_Jezik + 6, 1)</f>
        <v xml:space="preserve">  A. POSLOVNI PRIHODI I RASHODI
I POSLOVNI PRIHODI 
(202 + 206 + 210 + 214 – 215 + 216 – 217 + 218)</v>
      </c>
      <c r="G140" s="275" t="s">
        <v>1366</v>
      </c>
      <c r="H140" s="285" t="s">
        <v>857</v>
      </c>
      <c r="I140" s="282" t="s">
        <v>441</v>
      </c>
      <c r="J140" s="369" t="s">
        <v>796</v>
      </c>
      <c r="K140" s="375">
        <v>0</v>
      </c>
      <c r="L140" s="270"/>
      <c r="M140" s="290"/>
      <c r="N140" s="290"/>
      <c r="O140" s="10">
        <v>1</v>
      </c>
      <c r="P140" s="10"/>
    </row>
    <row r="141" spans="1:16" ht="13.5" customHeight="1">
      <c r="A141">
        <f t="shared" si="2"/>
        <v>140</v>
      </c>
      <c r="B141" t="s">
        <v>2377</v>
      </c>
      <c r="C141">
        <v>2</v>
      </c>
      <c r="D141">
        <v>202</v>
      </c>
      <c r="E141" s="2">
        <f ca="1">VLOOKUP( Aop!$A141, Aop!$A$2:$P$456, ID_Jezik +10, 1)</f>
        <v>60</v>
      </c>
      <c r="F141" t="str">
        <f ca="1">REPT( "  ", Aop!$C141) &amp; VLOOKUP( Aop!$A141, Aop!$A$2:$P$456, ID_Jezik + 6, 1)</f>
        <v xml:space="preserve">    1. Prihodi od prodaje robe (203 do 205)</v>
      </c>
      <c r="G141" s="285" t="s">
        <v>1470</v>
      </c>
      <c r="H141" s="285" t="s">
        <v>1004</v>
      </c>
      <c r="I141" s="292" t="s">
        <v>1383</v>
      </c>
      <c r="J141" s="369" t="s">
        <v>343</v>
      </c>
      <c r="K141" s="375">
        <v>60</v>
      </c>
      <c r="L141" s="270">
        <v>60</v>
      </c>
      <c r="M141" s="290">
        <v>60</v>
      </c>
      <c r="N141" s="290">
        <v>60</v>
      </c>
      <c r="O141" s="10">
        <v>1</v>
      </c>
      <c r="P141" s="10"/>
    </row>
    <row r="142" spans="1:16" ht="13.5" customHeight="1">
      <c r="A142">
        <f t="shared" si="2"/>
        <v>141</v>
      </c>
      <c r="B142" t="s">
        <v>2377</v>
      </c>
      <c r="C142">
        <v>3</v>
      </c>
      <c r="D142">
        <v>203</v>
      </c>
      <c r="E142" s="2" t="str">
        <f ca="1">VLOOKUP( Aop!$A142, Aop!$A$2:$P$456, ID_Jezik +10, 1)</f>
        <v>600, dio 605</v>
      </c>
      <c r="F142" t="str">
        <f ca="1">REPT( "  ", Aop!$C142) &amp; VLOOKUP( Aop!$A142, Aop!$A$2:$P$456, ID_Jezik + 6, 1)</f>
        <v xml:space="preserve">      a) Prihodi od prodaje robe povezanim pravnim licima</v>
      </c>
      <c r="G142" s="285" t="s">
        <v>2262</v>
      </c>
      <c r="H142" s="285" t="s">
        <v>597</v>
      </c>
      <c r="I142" s="292" t="s">
        <v>1446</v>
      </c>
      <c r="J142" s="369" t="s">
        <v>694</v>
      </c>
      <c r="K142" s="375" t="s">
        <v>2730</v>
      </c>
      <c r="L142" s="270" t="s">
        <v>1007</v>
      </c>
      <c r="M142" s="290" t="s">
        <v>1859</v>
      </c>
      <c r="N142" s="290" t="s">
        <v>89</v>
      </c>
      <c r="O142" s="10"/>
      <c r="P142" s="10"/>
    </row>
    <row r="143" spans="1:16" ht="13.5" customHeight="1">
      <c r="A143">
        <f t="shared" si="2"/>
        <v>142</v>
      </c>
      <c r="B143" t="s">
        <v>2377</v>
      </c>
      <c r="C143">
        <v>3</v>
      </c>
      <c r="D143">
        <v>204</v>
      </c>
      <c r="E143" s="2" t="str">
        <f ca="1">VLOOKUP( Aop!$A143, Aop!$A$2:$P$456, ID_Jezik +10, 1)</f>
        <v>601, 602, 603,dio 605</v>
      </c>
      <c r="F143" t="str">
        <f ca="1">REPT( "  ", Aop!$C143) &amp; VLOOKUP( Aop!$A143, Aop!$A$2:$P$456, ID_Jezik + 6, 1)</f>
        <v xml:space="preserve">      b) Prihodi od prodaje robe na domaćem tržištu</v>
      </c>
      <c r="G143" s="285" t="s">
        <v>1471</v>
      </c>
      <c r="H143" s="285" t="s">
        <v>1809</v>
      </c>
      <c r="I143" s="292" t="s">
        <v>1457</v>
      </c>
      <c r="J143" s="369" t="s">
        <v>695</v>
      </c>
      <c r="K143" s="375" t="s">
        <v>2731</v>
      </c>
      <c r="L143" s="270" t="s">
        <v>1008</v>
      </c>
      <c r="M143" s="290" t="s">
        <v>1860</v>
      </c>
      <c r="N143" s="290" t="s">
        <v>90</v>
      </c>
      <c r="O143" s="10"/>
      <c r="P143" s="10"/>
    </row>
    <row r="144" spans="1:16" ht="13.5" customHeight="1">
      <c r="A144">
        <f t="shared" si="2"/>
        <v>143</v>
      </c>
      <c r="B144" t="s">
        <v>2377</v>
      </c>
      <c r="C144">
        <v>3</v>
      </c>
      <c r="D144">
        <v>205</v>
      </c>
      <c r="E144" s="2" t="str">
        <f ca="1">VLOOKUP( Aop!$A144, Aop!$A$2:$P$456, ID_Jezik +10, 1)</f>
        <v>604, dio 605</v>
      </c>
      <c r="F144" t="str">
        <f ca="1">REPT( "  ", Aop!$C144) &amp; VLOOKUP( Aop!$A144, Aop!$A$2:$P$456, ID_Jezik + 6, 1)</f>
        <v xml:space="preserve">      c) Prihodi od prodaje robe na inostranom tržištu</v>
      </c>
      <c r="G144" s="285" t="s">
        <v>598</v>
      </c>
      <c r="H144" s="285" t="s">
        <v>1810</v>
      </c>
      <c r="I144" s="292" t="s">
        <v>1811</v>
      </c>
      <c r="J144" s="369" t="s">
        <v>696</v>
      </c>
      <c r="K144" s="375" t="s">
        <v>2732</v>
      </c>
      <c r="L144" s="270" t="s">
        <v>1009</v>
      </c>
      <c r="M144" s="290" t="s">
        <v>1858</v>
      </c>
      <c r="N144" s="290" t="s">
        <v>91</v>
      </c>
      <c r="O144" s="10"/>
      <c r="P144" s="10"/>
    </row>
    <row r="145" spans="1:16" ht="13.5" customHeight="1">
      <c r="A145">
        <f t="shared" si="2"/>
        <v>144</v>
      </c>
      <c r="B145" t="s">
        <v>2377</v>
      </c>
      <c r="C145">
        <v>2</v>
      </c>
      <c r="D145">
        <v>206</v>
      </c>
      <c r="E145" s="2" t="str">
        <f ca="1">VLOOKUP( Aop!$A145, Aop!$A$2:$P$456, ID_Jezik +10, 1)</f>
        <v>61</v>
      </c>
      <c r="F145" t="str">
        <f ca="1">REPT( "  ", Aop!$C145) &amp; VLOOKUP( Aop!$A145, Aop!$A$2:$P$456, ID_Jezik + 6, 1)</f>
        <v xml:space="preserve">    2. Prihodi od prodaje proizvoda (207 do 209)</v>
      </c>
      <c r="G145" s="285" t="s">
        <v>1053</v>
      </c>
      <c r="H145" s="285" t="s">
        <v>1005</v>
      </c>
      <c r="I145" s="292" t="s">
        <v>1384</v>
      </c>
      <c r="J145" s="369" t="s">
        <v>344</v>
      </c>
      <c r="K145" s="375" t="s">
        <v>2733</v>
      </c>
      <c r="L145" s="270">
        <v>61</v>
      </c>
      <c r="M145" s="290">
        <v>61</v>
      </c>
      <c r="N145" s="290">
        <v>61</v>
      </c>
      <c r="O145" s="10"/>
      <c r="P145" s="10"/>
    </row>
    <row r="146" spans="1:16" ht="13.5" customHeight="1">
      <c r="A146">
        <f t="shared" si="2"/>
        <v>145</v>
      </c>
      <c r="B146" t="s">
        <v>2377</v>
      </c>
      <c r="C146">
        <v>3</v>
      </c>
      <c r="D146">
        <v>207</v>
      </c>
      <c r="E146" s="2" t="str">
        <f ca="1">VLOOKUP( Aop!$A146, Aop!$A$2:$P$456, ID_Jezik +10, 1)</f>
        <v>610, dio 615</v>
      </c>
      <c r="F146" t="str">
        <f ca="1">REPT( "  ", Aop!$C146) &amp; VLOOKUP( Aop!$A146, Aop!$A$2:$P$456, ID_Jezik + 6, 1)</f>
        <v xml:space="preserve">      a) Prihodi od prodaje proizvoda povezanim pravnim licima</v>
      </c>
      <c r="G146" s="285" t="s">
        <v>1054</v>
      </c>
      <c r="H146" s="285" t="s">
        <v>858</v>
      </c>
      <c r="I146" s="292" t="s">
        <v>442</v>
      </c>
      <c r="J146" s="369" t="s">
        <v>697</v>
      </c>
      <c r="K146" s="375" t="s">
        <v>2734</v>
      </c>
      <c r="L146" s="270" t="s">
        <v>1010</v>
      </c>
      <c r="M146" s="290" t="s">
        <v>1857</v>
      </c>
      <c r="N146" s="290" t="s">
        <v>92</v>
      </c>
      <c r="O146" s="10"/>
      <c r="P146" s="10"/>
    </row>
    <row r="147" spans="1:16" ht="13.5" customHeight="1">
      <c r="A147">
        <f t="shared" si="2"/>
        <v>146</v>
      </c>
      <c r="B147" t="s">
        <v>2377</v>
      </c>
      <c r="C147">
        <v>3</v>
      </c>
      <c r="D147">
        <v>208</v>
      </c>
      <c r="E147" s="2" t="str">
        <f ca="1">VLOOKUP( Aop!$A147, Aop!$A$2:$P$456, ID_Jezik +10, 1)</f>
        <v>611, 612, 613, dio 615</v>
      </c>
      <c r="F147" t="str">
        <f ca="1">REPT( "  ", Aop!$C147) &amp; VLOOKUP( Aop!$A147, Aop!$A$2:$P$456, ID_Jezik + 6, 1)</f>
        <v xml:space="preserve">      b) Prihodi od prodaje proizvoda na domaćem tržištu</v>
      </c>
      <c r="G147" s="285" t="s">
        <v>1055</v>
      </c>
      <c r="H147" s="285" t="s">
        <v>859</v>
      </c>
      <c r="I147" s="292" t="s">
        <v>443</v>
      </c>
      <c r="J147" s="369" t="s">
        <v>698</v>
      </c>
      <c r="K147" s="375" t="s">
        <v>1141</v>
      </c>
      <c r="L147" s="270" t="s">
        <v>1140</v>
      </c>
      <c r="M147" s="290" t="s">
        <v>1139</v>
      </c>
      <c r="N147" s="290" t="s">
        <v>93</v>
      </c>
      <c r="O147" s="10"/>
      <c r="P147" s="10"/>
    </row>
    <row r="148" spans="1:16" ht="13.5" customHeight="1">
      <c r="A148">
        <f t="shared" si="2"/>
        <v>147</v>
      </c>
      <c r="B148" t="s">
        <v>2377</v>
      </c>
      <c r="C148">
        <v>3</v>
      </c>
      <c r="D148">
        <v>209</v>
      </c>
      <c r="E148" s="2" t="str">
        <f ca="1">VLOOKUP( Aop!$A148, Aop!$A$2:$P$456, ID_Jezik +10, 1)</f>
        <v>614, dio 615</v>
      </c>
      <c r="F148" t="str">
        <f ca="1">REPT( "  ", Aop!$C148) &amp; VLOOKUP( Aop!$A148, Aop!$A$2:$P$456, ID_Jezik + 6, 1)</f>
        <v xml:space="preserve">      c) Prihodi od prodaje proizvoda na inostranom tržištu</v>
      </c>
      <c r="G148" s="285" t="s">
        <v>599</v>
      </c>
      <c r="H148" s="285" t="s">
        <v>860</v>
      </c>
      <c r="I148" s="292" t="s">
        <v>444</v>
      </c>
      <c r="J148" s="369" t="s">
        <v>699</v>
      </c>
      <c r="K148" s="375" t="s">
        <v>2735</v>
      </c>
      <c r="L148" s="270" t="s">
        <v>1011</v>
      </c>
      <c r="M148" s="290" t="s">
        <v>1856</v>
      </c>
      <c r="N148" s="290" t="s">
        <v>94</v>
      </c>
      <c r="O148" s="10"/>
      <c r="P148" s="10"/>
    </row>
    <row r="149" spans="1:16" ht="13.5" customHeight="1">
      <c r="A149">
        <f t="shared" si="2"/>
        <v>148</v>
      </c>
      <c r="B149" t="s">
        <v>2377</v>
      </c>
      <c r="C149">
        <v>2</v>
      </c>
      <c r="D149">
        <v>210</v>
      </c>
      <c r="E149" s="2" t="str">
        <f ca="1">VLOOKUP( Aop!$A149, Aop!$A$2:$P$456, ID_Jezik +10, 1)</f>
        <v>62</v>
      </c>
      <c r="F149" t="str">
        <f ca="1">REPT( "  ", Aop!$C149) &amp; VLOOKUP( Aop!$A149, Aop!$A$2:$P$456, ID_Jezik + 6, 1)</f>
        <v xml:space="preserve">     3. Prihodi od pruženih usluga (211 do 213)</v>
      </c>
      <c r="G149" s="285" t="s">
        <v>1056</v>
      </c>
      <c r="H149" s="285" t="s">
        <v>1006</v>
      </c>
      <c r="I149" s="292" t="s">
        <v>445</v>
      </c>
      <c r="J149" s="369" t="s">
        <v>345</v>
      </c>
      <c r="K149" s="375" t="s">
        <v>2736</v>
      </c>
      <c r="L149" s="270">
        <v>62</v>
      </c>
      <c r="M149" s="290">
        <v>62</v>
      </c>
      <c r="N149" s="290">
        <v>62</v>
      </c>
      <c r="O149" s="10"/>
      <c r="P149" s="10"/>
    </row>
    <row r="150" spans="1:16" ht="13.5" customHeight="1">
      <c r="A150">
        <f t="shared" si="2"/>
        <v>149</v>
      </c>
      <c r="B150" t="s">
        <v>2377</v>
      </c>
      <c r="C150">
        <v>3</v>
      </c>
      <c r="D150">
        <v>211</v>
      </c>
      <c r="E150" s="2" t="str">
        <f ca="1">VLOOKUP( Aop!$A150, Aop!$A$2:$P$456, ID_Jezik +10, 1)</f>
        <v>620, dio 625</v>
      </c>
      <c r="F150" t="str">
        <f ca="1">REPT( "  ", Aop!$C150) &amp; VLOOKUP( Aop!$A150, Aop!$A$2:$P$456, ID_Jezik + 6, 1)</f>
        <v xml:space="preserve">      a) Prihodi od pruženih usluga povezanim licima</v>
      </c>
      <c r="G150" s="285" t="s">
        <v>1057</v>
      </c>
      <c r="H150" s="285" t="s">
        <v>861</v>
      </c>
      <c r="I150" s="292" t="s">
        <v>446</v>
      </c>
      <c r="J150" s="369" t="s">
        <v>700</v>
      </c>
      <c r="K150" s="375" t="s">
        <v>2737</v>
      </c>
      <c r="L150" s="270" t="s">
        <v>1012</v>
      </c>
      <c r="M150" s="290" t="s">
        <v>1142</v>
      </c>
      <c r="N150" s="290" t="s">
        <v>95</v>
      </c>
      <c r="O150" s="10"/>
      <c r="P150" s="10"/>
    </row>
    <row r="151" spans="1:16" ht="13.5" customHeight="1">
      <c r="A151">
        <f t="shared" si="2"/>
        <v>150</v>
      </c>
      <c r="B151" t="s">
        <v>2377</v>
      </c>
      <c r="C151">
        <v>3</v>
      </c>
      <c r="D151">
        <v>212</v>
      </c>
      <c r="E151" s="2" t="str">
        <f ca="1">VLOOKUP( Aop!$A151, Aop!$A$2:$P$456, ID_Jezik +10, 1)</f>
        <v>621, 622, 623, dio 625</v>
      </c>
      <c r="F151" t="str">
        <f ca="1">REPT( "  ", Aop!$C151) &amp; VLOOKUP( Aop!$A151, Aop!$A$2:$P$456, ID_Jezik + 6, 1)</f>
        <v xml:space="preserve">      b) Prihodi od pruženih usluga na domaćem tržištu</v>
      </c>
      <c r="G151" s="285" t="s">
        <v>1058</v>
      </c>
      <c r="H151" s="285" t="s">
        <v>862</v>
      </c>
      <c r="I151" s="292" t="s">
        <v>447</v>
      </c>
      <c r="J151" s="369" t="s">
        <v>701</v>
      </c>
      <c r="K151" s="375" t="s">
        <v>2738</v>
      </c>
      <c r="L151" s="270" t="s">
        <v>1013</v>
      </c>
      <c r="M151" s="290" t="s">
        <v>1855</v>
      </c>
      <c r="N151" s="290" t="s">
        <v>96</v>
      </c>
      <c r="O151" s="10"/>
      <c r="P151" s="10"/>
    </row>
    <row r="152" spans="1:16" ht="13.5" customHeight="1">
      <c r="A152">
        <f t="shared" si="2"/>
        <v>151</v>
      </c>
      <c r="B152" t="s">
        <v>2377</v>
      </c>
      <c r="C152">
        <v>3</v>
      </c>
      <c r="D152">
        <v>213</v>
      </c>
      <c r="E152" s="2" t="str">
        <f ca="1">VLOOKUP( Aop!$A152, Aop!$A$2:$P$456, ID_Jezik +10, 1)</f>
        <v>624, dio 625</v>
      </c>
      <c r="F152" t="str">
        <f ca="1">REPT( "  ", Aop!$C152) &amp; VLOOKUP( Aop!$A152, Aop!$A$2:$P$456, ID_Jezik + 6, 1)</f>
        <v xml:space="preserve">      c) Prihodi od pruženih usluga na inostranom tržištu</v>
      </c>
      <c r="G152" s="285" t="s">
        <v>600</v>
      </c>
      <c r="H152" s="285" t="s">
        <v>863</v>
      </c>
      <c r="I152" s="292" t="s">
        <v>448</v>
      </c>
      <c r="J152" s="369" t="s">
        <v>702</v>
      </c>
      <c r="K152" s="375" t="s">
        <v>2739</v>
      </c>
      <c r="L152" s="270" t="s">
        <v>1014</v>
      </c>
      <c r="M152" s="290" t="s">
        <v>1143</v>
      </c>
      <c r="N152" s="290" t="s">
        <v>97</v>
      </c>
      <c r="O152" s="10"/>
      <c r="P152" s="10"/>
    </row>
    <row r="153" spans="1:16" ht="13.5" customHeight="1">
      <c r="A153">
        <f t="shared" si="2"/>
        <v>152</v>
      </c>
      <c r="B153" t="s">
        <v>2377</v>
      </c>
      <c r="C153">
        <v>2</v>
      </c>
      <c r="D153">
        <v>214</v>
      </c>
      <c r="E153" s="2" t="str">
        <f ca="1">VLOOKUP( Aop!$A153, Aop!$A$2:$P$456, ID_Jezik +10, 1)</f>
        <v>630</v>
      </c>
      <c r="F153" t="str">
        <f ca="1">REPT( "  ", Aop!$C153) &amp; VLOOKUP( Aop!$A153, Aop!$A$2:$P$456, ID_Jezik + 6, 1)</f>
        <v xml:space="preserve">    4. Povećanje vrijednosti zaliha učinaka</v>
      </c>
      <c r="G153" s="285" t="s">
        <v>1092</v>
      </c>
      <c r="H153" s="285" t="s">
        <v>1095</v>
      </c>
      <c r="I153" s="292" t="s">
        <v>449</v>
      </c>
      <c r="J153" s="369" t="s">
        <v>768</v>
      </c>
      <c r="K153" s="375" t="s">
        <v>2740</v>
      </c>
      <c r="L153" s="270">
        <v>630</v>
      </c>
      <c r="M153" s="290">
        <v>630</v>
      </c>
      <c r="N153" s="290">
        <v>630</v>
      </c>
      <c r="O153" s="10"/>
      <c r="P153" s="10"/>
    </row>
    <row r="154" spans="1:16" ht="13.5" customHeight="1">
      <c r="A154">
        <f t="shared" si="2"/>
        <v>153</v>
      </c>
      <c r="B154" t="s">
        <v>2377</v>
      </c>
      <c r="C154">
        <v>2</v>
      </c>
      <c r="D154">
        <v>215</v>
      </c>
      <c r="E154" s="2" t="str">
        <f ca="1">VLOOKUP( Aop!$A154, Aop!$A$2:$P$456, ID_Jezik +10, 1)</f>
        <v>631</v>
      </c>
      <c r="F154" t="str">
        <f ca="1">REPT( "  ", Aop!$C154) &amp; VLOOKUP( Aop!$A154, Aop!$A$2:$P$456, ID_Jezik + 6, 1)</f>
        <v xml:space="preserve">    5. Smanjenje vrijednosti zaliha učinaka</v>
      </c>
      <c r="G154" s="285" t="s">
        <v>1093</v>
      </c>
      <c r="H154" s="285" t="s">
        <v>1094</v>
      </c>
      <c r="I154" s="292" t="s">
        <v>450</v>
      </c>
      <c r="J154" s="369" t="s">
        <v>769</v>
      </c>
      <c r="K154" s="375" t="s">
        <v>2741</v>
      </c>
      <c r="L154" s="270">
        <v>631</v>
      </c>
      <c r="M154" s="290">
        <v>631</v>
      </c>
      <c r="N154" s="290">
        <v>631</v>
      </c>
      <c r="O154" s="10"/>
      <c r="P154" s="10"/>
    </row>
    <row r="155" spans="1:16" ht="12.75" customHeight="1">
      <c r="A155">
        <f t="shared" si="2"/>
        <v>154</v>
      </c>
      <c r="B155" t="s">
        <v>2377</v>
      </c>
      <c r="C155">
        <v>2</v>
      </c>
      <c r="D155">
        <v>216</v>
      </c>
      <c r="E155" s="2" t="str">
        <f ca="1">VLOOKUP( Aop!$A155, Aop!$A$2:$P$456, ID_Jezik +10, 1)</f>
        <v>640 i 641</v>
      </c>
      <c r="F155" t="str">
        <f ca="1">REPT( "  ", Aop!$C155) &amp; VLOOKUP( Aop!$A155, Aop!$A$2:$P$456, ID_Jezik + 6, 1)</f>
        <v xml:space="preserve">    6. Povećanje vrijednosti investicionih nekretnina i bioloških sredstava koja se ne amortizuju</v>
      </c>
      <c r="G155" s="285" t="s">
        <v>1102</v>
      </c>
      <c r="H155" s="285" t="s">
        <v>1096</v>
      </c>
      <c r="I155" s="292" t="s">
        <v>451</v>
      </c>
      <c r="J155" s="369" t="s">
        <v>770</v>
      </c>
      <c r="K155" s="375" t="s">
        <v>2742</v>
      </c>
      <c r="L155" s="270" t="s">
        <v>1015</v>
      </c>
      <c r="M155" s="290" t="s">
        <v>1334</v>
      </c>
      <c r="N155" s="290" t="s">
        <v>1015</v>
      </c>
      <c r="O155" s="10"/>
      <c r="P155" s="10"/>
    </row>
    <row r="156" spans="1:16" ht="12.75" customHeight="1">
      <c r="A156">
        <f t="shared" si="2"/>
        <v>155</v>
      </c>
      <c r="B156" t="s">
        <v>2377</v>
      </c>
      <c r="C156">
        <v>2</v>
      </c>
      <c r="D156">
        <v>217</v>
      </c>
      <c r="E156" s="2" t="str">
        <f ca="1">VLOOKUP( Aop!$A156, Aop!$A$2:$P$456, ID_Jezik +10, 1)</f>
        <v>642 i 643</v>
      </c>
      <c r="F156" t="str">
        <f ca="1">REPT( "  ", Aop!$C156) &amp; VLOOKUP( Aop!$A156, Aop!$A$2:$P$456, ID_Jezik + 6, 1)</f>
        <v xml:space="preserve">    7.  Smanjenje vrijednosti investicionih nekretnina i bioloških sredstava koja se ne amortizuju</v>
      </c>
      <c r="G156" s="285" t="s">
        <v>1103</v>
      </c>
      <c r="H156" s="285" t="s">
        <v>1097</v>
      </c>
      <c r="I156" s="292" t="s">
        <v>452</v>
      </c>
      <c r="J156" s="369" t="s">
        <v>771</v>
      </c>
      <c r="K156" s="375" t="s">
        <v>2743</v>
      </c>
      <c r="L156" s="270" t="s">
        <v>1016</v>
      </c>
      <c r="M156" s="290" t="s">
        <v>1144</v>
      </c>
      <c r="N156" s="290" t="s">
        <v>1016</v>
      </c>
      <c r="O156" s="10">
        <v>1</v>
      </c>
      <c r="P156" s="10"/>
    </row>
    <row r="157" spans="1:16" ht="12.75" customHeight="1">
      <c r="A157">
        <f t="shared" si="2"/>
        <v>156</v>
      </c>
      <c r="B157" t="s">
        <v>2377</v>
      </c>
      <c r="C157">
        <v>2</v>
      </c>
      <c r="D157">
        <v>218</v>
      </c>
      <c r="E157" s="2" t="str">
        <f ca="1">VLOOKUP( Aop!$A157, Aop!$A$2:$P$456, ID_Jezik +10, 1)</f>
        <v>650 do 659</v>
      </c>
      <c r="F157" t="str">
        <f ca="1">REPT( "  ", Aop!$C157) &amp; VLOOKUP( Aop!$A157, Aop!$A$2:$P$456, ID_Jezik + 6, 1)</f>
        <v xml:space="preserve">    8. Ostali poslovni prihodi</v>
      </c>
      <c r="G157" s="285" t="s">
        <v>1406</v>
      </c>
      <c r="H157" s="285" t="s">
        <v>1812</v>
      </c>
      <c r="I157" s="292" t="s">
        <v>453</v>
      </c>
      <c r="J157" s="369" t="s">
        <v>703</v>
      </c>
      <c r="K157" s="375" t="s">
        <v>1405</v>
      </c>
      <c r="L157" s="270" t="s">
        <v>2015</v>
      </c>
      <c r="M157" s="290" t="s">
        <v>1145</v>
      </c>
      <c r="N157" s="290" t="s">
        <v>2015</v>
      </c>
      <c r="O157" s="10"/>
      <c r="P157" s="10"/>
    </row>
    <row r="158" spans="1:16" ht="12.75" customHeight="1">
      <c r="A158">
        <f t="shared" si="2"/>
        <v>157</v>
      </c>
      <c r="B158" t="s">
        <v>2377</v>
      </c>
      <c r="C158">
        <v>1</v>
      </c>
      <c r="D158">
        <v>219</v>
      </c>
      <c r="E158" s="2">
        <f ca="1">VLOOKUP( Aop!$A158, Aop!$A$2:$P$456, ID_Jezik +10, 1)</f>
        <v>0</v>
      </c>
      <c r="F158" t="str">
        <f ca="1">REPT( "  ", Aop!$C158) &amp; VLOOKUP( Aop!$A158, Aop!$A$2:$P$456, ID_Jezik + 6, 1)</f>
        <v xml:space="preserve">  II  POSLOVNI RASHODI  (220 + 221 + 222 + 223 + 226 + 227 + 234 + 235 + 236)</v>
      </c>
      <c r="G158" s="276" t="s">
        <v>1059</v>
      </c>
      <c r="H158" s="285" t="s">
        <v>864</v>
      </c>
      <c r="I158" s="292" t="s">
        <v>1385</v>
      </c>
      <c r="J158" s="369" t="s">
        <v>704</v>
      </c>
      <c r="K158" s="375"/>
      <c r="L158" s="270"/>
      <c r="M158" s="290"/>
      <c r="N158" s="290"/>
      <c r="O158" s="10"/>
      <c r="P158" s="10"/>
    </row>
    <row r="159" spans="1:16" ht="12.75" customHeight="1">
      <c r="A159">
        <f t="shared" si="2"/>
        <v>158</v>
      </c>
      <c r="B159" t="s">
        <v>2377</v>
      </c>
      <c r="C159">
        <v>2</v>
      </c>
      <c r="D159">
        <v>220</v>
      </c>
      <c r="E159" s="2" t="str">
        <f ca="1">VLOOKUP( Aop!$A159, Aop!$A$2:$P$456, ID_Jezik +10, 1)</f>
        <v>500 do 502</v>
      </c>
      <c r="F159" t="str">
        <f ca="1">REPT( "  ", Aop!$C159) &amp; VLOOKUP( Aop!$A159, Aop!$A$2:$P$456, ID_Jezik + 6, 1)</f>
        <v xml:space="preserve">    1. Nabavna vrijednost prodate robe</v>
      </c>
      <c r="G159" s="285" t="s">
        <v>1104</v>
      </c>
      <c r="H159" s="285" t="s">
        <v>1098</v>
      </c>
      <c r="I159" s="292" t="s">
        <v>454</v>
      </c>
      <c r="J159" s="369" t="s">
        <v>346</v>
      </c>
      <c r="K159" s="375" t="s">
        <v>1407</v>
      </c>
      <c r="L159" s="270" t="s">
        <v>2016</v>
      </c>
      <c r="M159" s="290" t="s">
        <v>1146</v>
      </c>
      <c r="N159" s="290" t="s">
        <v>2016</v>
      </c>
      <c r="O159" s="10"/>
      <c r="P159" s="10"/>
    </row>
    <row r="160" spans="1:16" ht="12.75" customHeight="1">
      <c r="A160">
        <f t="shared" si="2"/>
        <v>159</v>
      </c>
      <c r="B160" t="s">
        <v>2377</v>
      </c>
      <c r="C160">
        <v>2</v>
      </c>
      <c r="D160">
        <v>221</v>
      </c>
      <c r="E160" s="2" t="str">
        <f ca="1">VLOOKUP( Aop!$A160, Aop!$A$2:$P$456, ID_Jezik +10, 1)</f>
        <v>510 do 512</v>
      </c>
      <c r="F160" t="str">
        <f ca="1">REPT( "  ", Aop!$C160) &amp; VLOOKUP( Aop!$A160, Aop!$A$2:$P$456, ID_Jezik + 6, 1)</f>
        <v xml:space="preserve">    2. Troškovi materijala</v>
      </c>
      <c r="G160" s="285" t="s">
        <v>1105</v>
      </c>
      <c r="H160" s="285" t="s">
        <v>1099</v>
      </c>
      <c r="I160" s="292" t="s">
        <v>455</v>
      </c>
      <c r="J160" s="369" t="s">
        <v>347</v>
      </c>
      <c r="K160" s="375" t="s">
        <v>2744</v>
      </c>
      <c r="L160" s="270" t="s">
        <v>1017</v>
      </c>
      <c r="M160" s="290" t="s">
        <v>1147</v>
      </c>
      <c r="N160" s="290" t="s">
        <v>1017</v>
      </c>
      <c r="O160" s="10"/>
      <c r="P160" s="10"/>
    </row>
    <row r="161" spans="1:16" ht="12.75" customHeight="1">
      <c r="A161">
        <f t="shared" si="2"/>
        <v>160</v>
      </c>
      <c r="B161" t="s">
        <v>2377</v>
      </c>
      <c r="C161">
        <v>2</v>
      </c>
      <c r="D161">
        <v>222</v>
      </c>
      <c r="E161" s="2" t="str">
        <f ca="1">VLOOKUP( Aop!$A161, Aop!$A$2:$P$456, ID_Jezik +10, 1)</f>
        <v>513</v>
      </c>
      <c r="F161" t="str">
        <f ca="1">REPT( "  ", Aop!$C161) &amp; VLOOKUP( Aop!$A161, Aop!$A$2:$P$456, ID_Jezik + 6, 1)</f>
        <v xml:space="preserve">    3. Troškovi goriva i energije</v>
      </c>
      <c r="G161" s="285" t="s">
        <v>601</v>
      </c>
      <c r="H161" s="285" t="s">
        <v>1100</v>
      </c>
      <c r="I161" s="292" t="s">
        <v>456</v>
      </c>
      <c r="J161" s="369" t="s">
        <v>348</v>
      </c>
      <c r="K161" s="375" t="s">
        <v>2745</v>
      </c>
      <c r="L161" s="270">
        <v>513</v>
      </c>
      <c r="M161" s="290">
        <v>513</v>
      </c>
      <c r="N161" s="290">
        <v>513</v>
      </c>
      <c r="O161" s="10"/>
      <c r="P161" s="10"/>
    </row>
    <row r="162" spans="1:16" ht="12.75" customHeight="1">
      <c r="A162">
        <f t="shared" si="2"/>
        <v>161</v>
      </c>
      <c r="B162" t="s">
        <v>2377</v>
      </c>
      <c r="C162">
        <v>2</v>
      </c>
      <c r="D162">
        <v>223</v>
      </c>
      <c r="E162" s="2" t="str">
        <f ca="1">VLOOKUP( Aop!$A162, Aop!$A$2:$P$456, ID_Jezik +10, 1)</f>
        <v>52</v>
      </c>
      <c r="F162" t="str">
        <f ca="1">REPT( "  ", Aop!$C162) &amp; VLOOKUP( Aop!$A162, Aop!$A$2:$P$456, ID_Jezik + 6, 1)</f>
        <v xml:space="preserve">    4. Troškovi plata, naknada plata i ostalih ličnih primanja (224 + 225)</v>
      </c>
      <c r="G162" s="285" t="s">
        <v>1106</v>
      </c>
      <c r="H162" s="285" t="s">
        <v>1101</v>
      </c>
      <c r="I162" s="292" t="s">
        <v>457</v>
      </c>
      <c r="J162" s="369" t="s">
        <v>349</v>
      </c>
      <c r="K162" s="375" t="s">
        <v>2746</v>
      </c>
      <c r="L162" s="270">
        <v>52</v>
      </c>
      <c r="M162" s="290">
        <v>52</v>
      </c>
      <c r="N162" s="290">
        <v>52</v>
      </c>
      <c r="O162" s="10"/>
      <c r="P162" s="10"/>
    </row>
    <row r="163" spans="1:16" ht="12.75" customHeight="1">
      <c r="A163">
        <f t="shared" si="2"/>
        <v>162</v>
      </c>
      <c r="B163" t="s">
        <v>2377</v>
      </c>
      <c r="C163">
        <v>3</v>
      </c>
      <c r="D163">
        <v>224</v>
      </c>
      <c r="E163" s="2" t="str">
        <f ca="1">VLOOKUP( Aop!$A163, Aop!$A$2:$P$456, ID_Jezik +10, 1)</f>
        <v>520 i 523</v>
      </c>
      <c r="F163" t="str">
        <f ca="1">REPT( "  ", Aop!$C163) &amp; VLOOKUP( Aop!$A163, Aop!$A$2:$P$456, ID_Jezik + 6, 1)</f>
        <v xml:space="preserve">      a) Troškovi bruto plata i bruto naknada plata</v>
      </c>
      <c r="G163" s="285" t="s">
        <v>1060</v>
      </c>
      <c r="H163" s="285" t="s">
        <v>865</v>
      </c>
      <c r="I163" s="292" t="s">
        <v>1447</v>
      </c>
      <c r="J163" s="369" t="s">
        <v>705</v>
      </c>
      <c r="K163" s="375" t="s">
        <v>2747</v>
      </c>
      <c r="L163" s="270" t="s">
        <v>1018</v>
      </c>
      <c r="M163" s="290" t="s">
        <v>1335</v>
      </c>
      <c r="N163" s="290" t="s">
        <v>1018</v>
      </c>
      <c r="O163" s="10"/>
      <c r="P163" s="10"/>
    </row>
    <row r="164" spans="1:16" ht="12.75" customHeight="1">
      <c r="A164">
        <f t="shared" si="2"/>
        <v>163</v>
      </c>
      <c r="B164" t="s">
        <v>2377</v>
      </c>
      <c r="C164">
        <v>3</v>
      </c>
      <c r="D164">
        <v>225</v>
      </c>
      <c r="E164" s="2" t="str">
        <f ca="1">VLOOKUP( Aop!$A164, Aop!$A$2:$P$456, ID_Jezik +10, 1)</f>
        <v>524 do 529</v>
      </c>
      <c r="F164" t="str">
        <f ca="1">REPT( "  ", Aop!$C164) &amp; VLOOKUP( Aop!$A164, Aop!$A$2:$P$456, ID_Jezik + 6, 1)</f>
        <v xml:space="preserve">      b) Troškovi ostalih ličnih primanja</v>
      </c>
      <c r="G164" s="285" t="s">
        <v>1061</v>
      </c>
      <c r="H164" s="285" t="s">
        <v>866</v>
      </c>
      <c r="I164" s="292" t="s">
        <v>1448</v>
      </c>
      <c r="J164" s="369" t="s">
        <v>706</v>
      </c>
      <c r="K164" s="375" t="s">
        <v>2017</v>
      </c>
      <c r="L164" s="270" t="s">
        <v>2018</v>
      </c>
      <c r="M164" s="290" t="s">
        <v>1336</v>
      </c>
      <c r="N164" s="290" t="s">
        <v>2018</v>
      </c>
      <c r="O164" s="10"/>
      <c r="P164" s="10"/>
    </row>
    <row r="165" spans="1:16" ht="12.75" customHeight="1">
      <c r="A165">
        <f t="shared" si="2"/>
        <v>164</v>
      </c>
      <c r="B165" t="s">
        <v>2377</v>
      </c>
      <c r="C165">
        <v>2</v>
      </c>
      <c r="D165">
        <v>226</v>
      </c>
      <c r="E165" s="2" t="str">
        <f ca="1">VLOOKUP( Aop!$A165, Aop!$A$2:$P$456, ID_Jezik +10, 1)</f>
        <v>530 do 539</v>
      </c>
      <c r="F165" t="str">
        <f ca="1">REPT( "  ", Aop!$C165) &amp; VLOOKUP( Aop!$A165, Aop!$A$2:$P$456, ID_Jezik + 6, 1)</f>
        <v xml:space="preserve">    5. Troškovi proizvodnih usluga</v>
      </c>
      <c r="G165" s="285" t="s">
        <v>1107</v>
      </c>
      <c r="H165" s="285" t="s">
        <v>2720</v>
      </c>
      <c r="I165" s="292" t="s">
        <v>458</v>
      </c>
      <c r="J165" s="369" t="s">
        <v>350</v>
      </c>
      <c r="K165" s="375" t="s">
        <v>1408</v>
      </c>
      <c r="L165" s="270" t="s">
        <v>2019</v>
      </c>
      <c r="M165" s="290" t="s">
        <v>1337</v>
      </c>
      <c r="N165" s="290" t="s">
        <v>2019</v>
      </c>
      <c r="O165" s="10"/>
      <c r="P165" s="10"/>
    </row>
    <row r="166" spans="1:16" ht="12.75" customHeight="1">
      <c r="A166">
        <f t="shared" si="2"/>
        <v>165</v>
      </c>
      <c r="B166" t="s">
        <v>2377</v>
      </c>
      <c r="C166">
        <v>2</v>
      </c>
      <c r="D166">
        <v>227</v>
      </c>
      <c r="E166" s="2" t="str">
        <f ca="1">VLOOKUP( Aop!$A166, Aop!$A$2:$P$456, ID_Jezik +10, 1)</f>
        <v>54</v>
      </c>
      <c r="F166" t="str">
        <f ca="1">REPT( "  ", Aop!$C166) &amp; VLOOKUP( Aop!$A166, Aop!$A$2:$P$456, ID_Jezik + 6, 1)</f>
        <v xml:space="preserve">    6. Troškovi amortizacije i rezervisanja (228 + 233)</v>
      </c>
      <c r="G166" s="285" t="s">
        <v>1108</v>
      </c>
      <c r="H166" s="285" t="s">
        <v>2721</v>
      </c>
      <c r="I166" s="292" t="s">
        <v>459</v>
      </c>
      <c r="J166" s="369" t="s">
        <v>351</v>
      </c>
      <c r="K166" s="375" t="s">
        <v>2748</v>
      </c>
      <c r="L166" s="270">
        <v>54</v>
      </c>
      <c r="M166" s="290">
        <v>54</v>
      </c>
      <c r="N166" s="290">
        <v>54</v>
      </c>
      <c r="O166" s="10"/>
      <c r="P166" s="10"/>
    </row>
    <row r="167" spans="1:16" ht="12.75" customHeight="1">
      <c r="A167">
        <f t="shared" si="2"/>
        <v>166</v>
      </c>
      <c r="B167" t="s">
        <v>2377</v>
      </c>
      <c r="C167">
        <v>3</v>
      </c>
      <c r="D167">
        <v>228</v>
      </c>
      <c r="E167" s="2" t="str">
        <f ca="1">VLOOKUP( Aop!$A167, Aop!$A$2:$P$456, ID_Jezik +10, 1)</f>
        <v>540</v>
      </c>
      <c r="F167" t="str">
        <f ca="1">REPT( "  ", Aop!$C167) &amp; VLOOKUP( Aop!$A167, Aop!$A$2:$P$456, ID_Jezik + 6, 1)</f>
        <v xml:space="preserve">      6.1 Troškovi amortizacije (229 do 232)</v>
      </c>
      <c r="G167" s="285" t="s">
        <v>1062</v>
      </c>
      <c r="H167" s="285" t="s">
        <v>870</v>
      </c>
      <c r="I167" s="292" t="s">
        <v>602</v>
      </c>
      <c r="J167" s="369" t="s">
        <v>352</v>
      </c>
      <c r="K167" s="375" t="s">
        <v>2749</v>
      </c>
      <c r="L167" s="270">
        <v>540</v>
      </c>
      <c r="M167" s="290">
        <v>540</v>
      </c>
      <c r="N167" s="290">
        <v>540</v>
      </c>
      <c r="O167" s="10"/>
      <c r="P167" s="10"/>
    </row>
    <row r="168" spans="1:16" ht="12.75" customHeight="1">
      <c r="A168">
        <f t="shared" si="2"/>
        <v>167</v>
      </c>
      <c r="B168" t="s">
        <v>2377</v>
      </c>
      <c r="C168">
        <v>4</v>
      </c>
      <c r="D168">
        <v>229</v>
      </c>
      <c r="E168" s="2" t="str">
        <f ca="1">VLOOKUP( Aop!$A168, Aop!$A$2:$P$456, ID_Jezik +10, 1)</f>
        <v>dio 540</v>
      </c>
      <c r="F168" t="str">
        <f ca="1">REPT( "  ", Aop!$C168) &amp; VLOOKUP( Aop!$A168, Aop!$A$2:$P$456, ID_Jezik + 6, 1)</f>
        <v xml:space="preserve">        a) Amortizacija nekretnina, postrojenja i opreme</v>
      </c>
      <c r="G168" s="285" t="s">
        <v>1063</v>
      </c>
      <c r="H168" s="285" t="s">
        <v>867</v>
      </c>
      <c r="I168" s="292" t="s">
        <v>460</v>
      </c>
      <c r="J168" s="369" t="s">
        <v>707</v>
      </c>
      <c r="K168" s="375" t="s">
        <v>2750</v>
      </c>
      <c r="L168" s="270" t="s">
        <v>1019</v>
      </c>
      <c r="M168" s="290" t="s">
        <v>1852</v>
      </c>
      <c r="N168" s="290" t="s">
        <v>98</v>
      </c>
      <c r="O168" s="10"/>
      <c r="P168" s="10"/>
    </row>
    <row r="169" spans="1:16" ht="12.75" customHeight="1">
      <c r="A169">
        <f t="shared" si="2"/>
        <v>168</v>
      </c>
      <c r="B169" t="s">
        <v>2377</v>
      </c>
      <c r="C169">
        <v>4</v>
      </c>
      <c r="D169">
        <v>230</v>
      </c>
      <c r="E169" s="2" t="str">
        <f ca="1">VLOOKUP( Aop!$A169, Aop!$A$2:$P$456, ID_Jezik +10, 1)</f>
        <v>dio 540</v>
      </c>
      <c r="F169" t="str">
        <f ca="1">REPT( "  ", Aop!$C169) &amp; VLOOKUP( Aop!$A169, Aop!$A$2:$P$456, ID_Jezik + 6, 1)</f>
        <v xml:space="preserve">        b) Amortizacija investicionih nekretnina</v>
      </c>
      <c r="G169" s="285" t="s">
        <v>1064</v>
      </c>
      <c r="H169" s="285" t="s">
        <v>871</v>
      </c>
      <c r="I169" s="292" t="s">
        <v>461</v>
      </c>
      <c r="J169" s="369" t="s">
        <v>353</v>
      </c>
      <c r="K169" s="375" t="s">
        <v>2750</v>
      </c>
      <c r="L169" s="270" t="s">
        <v>1019</v>
      </c>
      <c r="M169" s="290" t="s">
        <v>1852</v>
      </c>
      <c r="N169" s="290" t="s">
        <v>98</v>
      </c>
      <c r="O169" s="10">
        <v>1</v>
      </c>
      <c r="P169" s="10"/>
    </row>
    <row r="170" spans="1:16" ht="12.75" customHeight="1">
      <c r="A170">
        <f t="shared" si="2"/>
        <v>169</v>
      </c>
      <c r="B170" t="s">
        <v>2377</v>
      </c>
      <c r="C170">
        <v>4</v>
      </c>
      <c r="D170">
        <v>231</v>
      </c>
      <c r="E170" s="2" t="str">
        <f ca="1">VLOOKUP( Aop!$A170, Aop!$A$2:$P$456, ID_Jezik +10, 1)</f>
        <v>dio 540</v>
      </c>
      <c r="F170" t="str">
        <f ca="1">REPT( "  ", Aop!$C170) &amp; VLOOKUP( Aop!$A170, Aop!$A$2:$P$456, ID_Jezik + 6, 1)</f>
        <v xml:space="preserve">        c) Amortizacija sredstava uzetih u zakup</v>
      </c>
      <c r="G170" s="285" t="s">
        <v>603</v>
      </c>
      <c r="H170" s="285" t="s">
        <v>868</v>
      </c>
      <c r="I170" s="292" t="s">
        <v>462</v>
      </c>
      <c r="J170" s="369" t="s">
        <v>708</v>
      </c>
      <c r="K170" s="375" t="s">
        <v>2750</v>
      </c>
      <c r="L170" s="270" t="s">
        <v>1019</v>
      </c>
      <c r="M170" s="290" t="s">
        <v>1852</v>
      </c>
      <c r="N170" s="290" t="s">
        <v>98</v>
      </c>
      <c r="O170" s="10">
        <v>1</v>
      </c>
      <c r="P170" s="10"/>
    </row>
    <row r="171" spans="1:16" ht="12.75" customHeight="1">
      <c r="A171">
        <f t="shared" si="2"/>
        <v>170</v>
      </c>
      <c r="B171" t="s">
        <v>2377</v>
      </c>
      <c r="C171">
        <v>4</v>
      </c>
      <c r="D171">
        <v>232</v>
      </c>
      <c r="E171" s="2" t="str">
        <f ca="1">VLOOKUP( Aop!$A171, Aop!$A$2:$P$456, ID_Jezik +10, 1)</f>
        <v>dio 540</v>
      </c>
      <c r="F171" t="str">
        <f ca="1">REPT( "  ", Aop!$C171) &amp; VLOOKUP( Aop!$A171, Aop!$A$2:$P$456, ID_Jezik + 6, 1)</f>
        <v xml:space="preserve">        d) Amortizacija ostalih sredstava</v>
      </c>
      <c r="G171" s="285" t="s">
        <v>604</v>
      </c>
      <c r="H171" s="285" t="s">
        <v>869</v>
      </c>
      <c r="I171" s="292" t="s">
        <v>463</v>
      </c>
      <c r="J171" s="369" t="s">
        <v>709</v>
      </c>
      <c r="K171" s="375" t="s">
        <v>2750</v>
      </c>
      <c r="L171" s="270" t="s">
        <v>1019</v>
      </c>
      <c r="M171" s="290" t="s">
        <v>1852</v>
      </c>
      <c r="N171" s="290" t="s">
        <v>98</v>
      </c>
      <c r="O171" s="10">
        <v>1</v>
      </c>
      <c r="P171" s="10"/>
    </row>
    <row r="172" spans="1:16" ht="12.75" customHeight="1">
      <c r="A172">
        <f t="shared" si="2"/>
        <v>171</v>
      </c>
      <c r="B172" t="s">
        <v>2377</v>
      </c>
      <c r="C172">
        <v>3</v>
      </c>
      <c r="D172">
        <v>233</v>
      </c>
      <c r="E172" s="2" t="str">
        <f ca="1">VLOOKUP( Aop!$A172, Aop!$A$2:$P$456, ID_Jezik +10, 1)</f>
        <v>541</v>
      </c>
      <c r="F172" t="str">
        <f ca="1">REPT( "  ", Aop!$C172) &amp; VLOOKUP( Aop!$A172, Aop!$A$2:$P$456, ID_Jezik + 6, 1)</f>
        <v xml:space="preserve">      6.2 Troškovi rezervisanja</v>
      </c>
      <c r="G172" s="285" t="s">
        <v>1065</v>
      </c>
      <c r="H172" s="285" t="s">
        <v>872</v>
      </c>
      <c r="I172" s="292" t="s">
        <v>464</v>
      </c>
      <c r="J172" s="369" t="s">
        <v>354</v>
      </c>
      <c r="K172" s="375" t="s">
        <v>2751</v>
      </c>
      <c r="L172" s="270">
        <v>541</v>
      </c>
      <c r="M172" s="290">
        <v>541</v>
      </c>
      <c r="N172" s="290">
        <v>541</v>
      </c>
      <c r="O172" s="10">
        <v>1</v>
      </c>
      <c r="P172" s="10"/>
    </row>
    <row r="173" spans="1:16" ht="12.75" customHeight="1">
      <c r="A173">
        <f t="shared" si="2"/>
        <v>172</v>
      </c>
      <c r="B173" t="s">
        <v>2377</v>
      </c>
      <c r="C173">
        <v>2</v>
      </c>
      <c r="D173">
        <v>234</v>
      </c>
      <c r="E173" s="2" t="str">
        <f ca="1">VLOOKUP( Aop!$A173, Aop!$A$2:$P$456, ID_Jezik +10, 1)</f>
        <v>55 osim 555 i 556</v>
      </c>
      <c r="F173" t="str">
        <f ca="1">REPT( "  ", Aop!$C173) &amp; VLOOKUP( Aop!$A173, Aop!$A$2:$P$456, ID_Jezik + 6, 1)</f>
        <v xml:space="preserve">    7. Nematerijalni troškovi (bez poreza i doprinosa)</v>
      </c>
      <c r="G173" s="285" t="s">
        <v>1111</v>
      </c>
      <c r="H173" s="285" t="s">
        <v>1112</v>
      </c>
      <c r="I173" s="292" t="s">
        <v>465</v>
      </c>
      <c r="J173" s="369" t="s">
        <v>355</v>
      </c>
      <c r="K173" s="375" t="s">
        <v>2752</v>
      </c>
      <c r="L173" s="270" t="s">
        <v>1020</v>
      </c>
      <c r="M173" s="290" t="s">
        <v>1853</v>
      </c>
      <c r="N173" s="290" t="s">
        <v>99</v>
      </c>
      <c r="O173" s="10"/>
      <c r="P173" s="10"/>
    </row>
    <row r="174" spans="1:16">
      <c r="A174">
        <f t="shared" si="2"/>
        <v>173</v>
      </c>
      <c r="B174" t="s">
        <v>2377</v>
      </c>
      <c r="C174">
        <v>2</v>
      </c>
      <c r="D174">
        <v>235</v>
      </c>
      <c r="E174" s="2" t="str">
        <f ca="1">VLOOKUP( Aop!$A174, Aop!$A$2:$P$456, ID_Jezik +10, 1)</f>
        <v>555</v>
      </c>
      <c r="F174" t="str">
        <f ca="1">REPT( "  ", Aop!$C174) &amp; VLOOKUP( Aop!$A174, Aop!$A$2:$P$456, ID_Jezik + 6, 1)</f>
        <v xml:space="preserve">    8. Troškovi poreza</v>
      </c>
      <c r="G174" s="285" t="s">
        <v>1109</v>
      </c>
      <c r="H174" s="285" t="s">
        <v>2718</v>
      </c>
      <c r="I174" s="292" t="s">
        <v>466</v>
      </c>
      <c r="J174" s="369" t="s">
        <v>356</v>
      </c>
      <c r="K174" s="375" t="s">
        <v>2753</v>
      </c>
      <c r="L174" s="270">
        <v>555</v>
      </c>
      <c r="M174" s="290">
        <v>555</v>
      </c>
      <c r="N174" s="290">
        <v>555</v>
      </c>
      <c r="O174" s="10"/>
      <c r="P174" s="10"/>
    </row>
    <row r="175" spans="1:16" ht="12.75" customHeight="1">
      <c r="A175">
        <f t="shared" si="2"/>
        <v>174</v>
      </c>
      <c r="B175" t="s">
        <v>2377</v>
      </c>
      <c r="C175">
        <v>2</v>
      </c>
      <c r="D175">
        <v>236</v>
      </c>
      <c r="E175" s="2" t="str">
        <f ca="1">VLOOKUP( Aop!$A175, Aop!$A$2:$P$456, ID_Jezik +10, 1)</f>
        <v>556</v>
      </c>
      <c r="F175" t="str">
        <f ca="1">REPT( "  ", Aop!$C175) &amp; VLOOKUP( Aop!$A175, Aop!$A$2:$P$456, ID_Jezik + 6, 1)</f>
        <v xml:space="preserve">    9. Troškovi doprinosa</v>
      </c>
      <c r="G175" s="285" t="s">
        <v>1110</v>
      </c>
      <c r="H175" s="285" t="s">
        <v>2719</v>
      </c>
      <c r="I175" s="292" t="s">
        <v>467</v>
      </c>
      <c r="J175" s="369" t="s">
        <v>357</v>
      </c>
      <c r="K175" s="375" t="s">
        <v>2754</v>
      </c>
      <c r="L175" s="270">
        <v>556</v>
      </c>
      <c r="M175" s="290">
        <v>556</v>
      </c>
      <c r="N175" s="290">
        <v>556</v>
      </c>
      <c r="O175" s="10"/>
      <c r="P175" s="10"/>
    </row>
    <row r="176" spans="1:16" ht="12.75" customHeight="1">
      <c r="A176">
        <f t="shared" si="2"/>
        <v>175</v>
      </c>
      <c r="B176" t="s">
        <v>2377</v>
      </c>
      <c r="C176">
        <v>1</v>
      </c>
      <c r="D176">
        <v>237</v>
      </c>
      <c r="E176" s="2">
        <f ca="1">VLOOKUP( Aop!$A176, Aop!$A$2:$P$456, ID_Jezik +10, 1)</f>
        <v>0</v>
      </c>
      <c r="F176" t="str">
        <f ca="1">REPT( "  ", Aop!$C176) &amp; VLOOKUP( Aop!$A176, Aop!$A$2:$P$456, ID_Jezik + 6, 1)</f>
        <v xml:space="preserve">  B.  POSLOVNI DOBITAK (201 – 219)</v>
      </c>
      <c r="G176" s="276" t="s">
        <v>1066</v>
      </c>
      <c r="H176" s="285" t="s">
        <v>873</v>
      </c>
      <c r="I176" s="292" t="s">
        <v>468</v>
      </c>
      <c r="J176" s="369" t="s">
        <v>710</v>
      </c>
      <c r="K176" s="375"/>
      <c r="L176" s="270"/>
      <c r="M176" s="290"/>
      <c r="N176" s="290"/>
      <c r="O176" s="10"/>
      <c r="P176" s="10"/>
    </row>
    <row r="177" spans="1:16" ht="12.75" customHeight="1">
      <c r="A177">
        <f t="shared" si="2"/>
        <v>176</v>
      </c>
      <c r="B177" t="s">
        <v>2377</v>
      </c>
      <c r="C177">
        <v>1</v>
      </c>
      <c r="D177">
        <v>238</v>
      </c>
      <c r="E177" s="2">
        <f ca="1">VLOOKUP( Aop!$A177, Aop!$A$2:$P$456, ID_Jezik +10, 1)</f>
        <v>0</v>
      </c>
      <c r="F177" t="str">
        <f ca="1">REPT( "  ", Aop!$C177) &amp; VLOOKUP( Aop!$A177, Aop!$A$2:$P$456, ID_Jezik + 6, 1)</f>
        <v xml:space="preserve">  V.  POSLOVNI GUBITAK (219 – 201)</v>
      </c>
      <c r="G177" s="276" t="s">
        <v>1067</v>
      </c>
      <c r="H177" s="285" t="s">
        <v>874</v>
      </c>
      <c r="I177" s="292" t="s">
        <v>469</v>
      </c>
      <c r="J177" s="369" t="s">
        <v>711</v>
      </c>
      <c r="K177" s="375"/>
      <c r="L177" s="270"/>
      <c r="M177" s="290"/>
      <c r="N177" s="290"/>
      <c r="O177" s="10"/>
      <c r="P177" s="10"/>
    </row>
    <row r="178" spans="1:16" ht="15" customHeight="1">
      <c r="A178">
        <f t="shared" si="2"/>
        <v>177</v>
      </c>
      <c r="B178" t="s">
        <v>2377</v>
      </c>
      <c r="C178">
        <v>1</v>
      </c>
      <c r="D178">
        <v>239</v>
      </c>
      <c r="E178" s="2" t="str">
        <f ca="1">VLOOKUP( Aop!$A178, Aop!$A$2:$P$456, ID_Jezik +10, 1)</f>
        <v>66</v>
      </c>
      <c r="F178" t="str">
        <f ca="1">REPT( "  ", Aop!$C178) &amp; VLOOKUP( Aop!$A178, Aop!$A$2:$P$456, ID_Jezik + 6, 1)</f>
        <v xml:space="preserve">  G. FINANSIJSKI PRIHODI I RASHODI _x000D_
I  FINANSIJSKI PRIHODI (240 do 243)</v>
      </c>
      <c r="G178" s="275" t="s">
        <v>1068</v>
      </c>
      <c r="H178" s="285" t="s">
        <v>875</v>
      </c>
      <c r="I178" s="292" t="s">
        <v>470</v>
      </c>
      <c r="J178" s="369" t="s">
        <v>795</v>
      </c>
      <c r="K178" s="375" t="s">
        <v>2755</v>
      </c>
      <c r="L178" s="270">
        <v>66</v>
      </c>
      <c r="M178" s="290">
        <v>66</v>
      </c>
      <c r="N178" s="290">
        <v>66</v>
      </c>
      <c r="O178" s="10"/>
      <c r="P178" s="10"/>
    </row>
    <row r="179" spans="1:16">
      <c r="A179">
        <f t="shared" si="2"/>
        <v>178</v>
      </c>
      <c r="B179" t="s">
        <v>2377</v>
      </c>
      <c r="C179">
        <v>2</v>
      </c>
      <c r="D179">
        <v>240</v>
      </c>
      <c r="E179" s="2" t="str">
        <f ca="1">VLOOKUP( Aop!$A179, Aop!$A$2:$P$456, ID_Jezik +10, 1)</f>
        <v>660, 661</v>
      </c>
      <c r="F179" t="str">
        <f ca="1">REPT( "  ", Aop!$C179) &amp; VLOOKUP( Aop!$A179, Aop!$A$2:$P$456, ID_Jezik + 6, 1)</f>
        <v xml:space="preserve">    1.   Prihodi od kamata</v>
      </c>
      <c r="G179" s="285" t="s">
        <v>1069</v>
      </c>
      <c r="H179" s="285" t="s">
        <v>876</v>
      </c>
      <c r="I179" s="292" t="s">
        <v>471</v>
      </c>
      <c r="J179" s="369" t="s">
        <v>358</v>
      </c>
      <c r="K179" s="375" t="s">
        <v>1021</v>
      </c>
      <c r="L179" s="270" t="s">
        <v>1021</v>
      </c>
      <c r="M179" s="290" t="s">
        <v>1021</v>
      </c>
      <c r="N179" s="290" t="s">
        <v>1021</v>
      </c>
      <c r="O179" s="10">
        <v>1</v>
      </c>
      <c r="P179" s="10"/>
    </row>
    <row r="180" spans="1:16" ht="12.75" customHeight="1">
      <c r="A180">
        <f t="shared" si="2"/>
        <v>179</v>
      </c>
      <c r="B180" t="s">
        <v>2377</v>
      </c>
      <c r="C180">
        <v>2</v>
      </c>
      <c r="D180">
        <v>241</v>
      </c>
      <c r="E180" s="2" t="str">
        <f ca="1">VLOOKUP( Aop!$A180, Aop!$A$2:$P$456, ID_Jezik +10, 1)</f>
        <v>662</v>
      </c>
      <c r="F180" t="str">
        <f ca="1">REPT( "  ", Aop!$C180) &amp; VLOOKUP( Aop!$A180, Aop!$A$2:$P$456, ID_Jezik + 6, 1)</f>
        <v xml:space="preserve">    2.   Pozitivne kursne razlike</v>
      </c>
      <c r="G180" s="285" t="s">
        <v>1070</v>
      </c>
      <c r="H180" s="285" t="s">
        <v>877</v>
      </c>
      <c r="I180" s="292" t="s">
        <v>472</v>
      </c>
      <c r="J180" s="369" t="s">
        <v>359</v>
      </c>
      <c r="K180" s="375" t="s">
        <v>2756</v>
      </c>
      <c r="L180" s="270">
        <v>662</v>
      </c>
      <c r="M180" s="290">
        <v>662</v>
      </c>
      <c r="N180" s="290">
        <v>662</v>
      </c>
      <c r="O180" s="10"/>
      <c r="P180" s="10"/>
    </row>
    <row r="181" spans="1:16" ht="12.75" customHeight="1">
      <c r="A181">
        <f t="shared" si="2"/>
        <v>180</v>
      </c>
      <c r="B181" t="s">
        <v>2377</v>
      </c>
      <c r="C181">
        <v>2</v>
      </c>
      <c r="D181">
        <v>242</v>
      </c>
      <c r="E181" s="2" t="str">
        <f ca="1">VLOOKUP( Aop!$A181, Aop!$A$2:$P$456, ID_Jezik +10, 1)</f>
        <v>663</v>
      </c>
      <c r="F181" t="str">
        <f ca="1">REPT( "  ", Aop!$C181) &amp; VLOOKUP( Aop!$A181, Aop!$A$2:$P$456, ID_Jezik + 6, 1)</f>
        <v xml:space="preserve">    3.   Prihodi od efekata valutne klauzule</v>
      </c>
      <c r="G181" s="285" t="s">
        <v>1071</v>
      </c>
      <c r="H181" s="285" t="s">
        <v>878</v>
      </c>
      <c r="I181" s="292" t="s">
        <v>473</v>
      </c>
      <c r="J181" s="369" t="s">
        <v>360</v>
      </c>
      <c r="K181" s="375" t="s">
        <v>2757</v>
      </c>
      <c r="L181" s="270">
        <v>663</v>
      </c>
      <c r="M181" s="290">
        <v>663</v>
      </c>
      <c r="N181" s="290">
        <v>663</v>
      </c>
      <c r="O181" s="10"/>
      <c r="P181" s="10"/>
    </row>
    <row r="182" spans="1:16" ht="12.75" customHeight="1">
      <c r="A182">
        <f t="shared" si="2"/>
        <v>181</v>
      </c>
      <c r="B182" t="s">
        <v>2377</v>
      </c>
      <c r="C182">
        <v>2</v>
      </c>
      <c r="D182">
        <v>243</v>
      </c>
      <c r="E182" s="2" t="str">
        <f ca="1">VLOOKUP( Aop!$A182, Aop!$A$2:$P$456, ID_Jezik +10, 1)</f>
        <v>669</v>
      </c>
      <c r="F182" t="str">
        <f ca="1">REPT( "  ", Aop!$C182) &amp; VLOOKUP( Aop!$A182, Aop!$A$2:$P$456, ID_Jezik + 6, 1)</f>
        <v xml:space="preserve">    4.   Ostali finansijski prihodi</v>
      </c>
      <c r="G182" s="285" t="s">
        <v>1072</v>
      </c>
      <c r="H182" s="285" t="s">
        <v>879</v>
      </c>
      <c r="I182" s="292" t="s">
        <v>474</v>
      </c>
      <c r="J182" s="369" t="s">
        <v>361</v>
      </c>
      <c r="K182" s="375" t="s">
        <v>2758</v>
      </c>
      <c r="L182" s="270">
        <v>669</v>
      </c>
      <c r="M182" s="290">
        <v>669</v>
      </c>
      <c r="N182" s="290">
        <v>669</v>
      </c>
      <c r="O182" s="10"/>
      <c r="P182" s="10"/>
    </row>
    <row r="183" spans="1:16" ht="12.75" customHeight="1">
      <c r="A183">
        <f t="shared" si="2"/>
        <v>182</v>
      </c>
      <c r="B183" t="s">
        <v>2377</v>
      </c>
      <c r="C183">
        <v>1</v>
      </c>
      <c r="D183">
        <v>244</v>
      </c>
      <c r="E183" s="2" t="str">
        <f ca="1">VLOOKUP( Aop!$A183, Aop!$A$2:$P$456, ID_Jezik +10, 1)</f>
        <v>56</v>
      </c>
      <c r="F183" t="str">
        <f ca="1">REPT( "  ", Aop!$C183) &amp; VLOOKUP( Aop!$A183, Aop!$A$2:$P$456, ID_Jezik + 6, 1)</f>
        <v xml:space="preserve">  II  FINANSIJSKI RASHODI (245 do 248)</v>
      </c>
      <c r="G183" s="276" t="s">
        <v>1073</v>
      </c>
      <c r="H183" s="285" t="s">
        <v>880</v>
      </c>
      <c r="I183" s="292" t="s">
        <v>1328</v>
      </c>
      <c r="J183" s="369" t="s">
        <v>712</v>
      </c>
      <c r="K183" s="375" t="s">
        <v>2759</v>
      </c>
      <c r="L183" s="270">
        <v>56</v>
      </c>
      <c r="M183" s="290">
        <v>56</v>
      </c>
      <c r="N183" s="290">
        <v>56</v>
      </c>
      <c r="O183" s="10"/>
      <c r="P183" s="10"/>
    </row>
    <row r="184" spans="1:16">
      <c r="A184">
        <f t="shared" si="2"/>
        <v>183</v>
      </c>
      <c r="B184" t="s">
        <v>2377</v>
      </c>
      <c r="C184">
        <v>2</v>
      </c>
      <c r="D184">
        <v>245</v>
      </c>
      <c r="E184" s="2" t="str">
        <f ca="1">VLOOKUP( Aop!$A184, Aop!$A$2:$P$456, ID_Jezik +10, 1)</f>
        <v>560, 561</v>
      </c>
      <c r="F184" t="str">
        <f ca="1">REPT( "  ", Aop!$C184) &amp; VLOOKUP( Aop!$A184, Aop!$A$2:$P$456, ID_Jezik + 6, 1)</f>
        <v xml:space="preserve">    1. Rashodi kamata</v>
      </c>
      <c r="G184" s="285" t="s">
        <v>2726</v>
      </c>
      <c r="H184" s="285" t="s">
        <v>2722</v>
      </c>
      <c r="I184" s="292" t="s">
        <v>475</v>
      </c>
      <c r="J184" s="369" t="s">
        <v>773</v>
      </c>
      <c r="K184" s="375" t="s">
        <v>1022</v>
      </c>
      <c r="L184" s="270" t="s">
        <v>1022</v>
      </c>
      <c r="M184" s="290" t="s">
        <v>1022</v>
      </c>
      <c r="N184" s="290" t="s">
        <v>1022</v>
      </c>
      <c r="O184" s="10"/>
      <c r="P184" s="10"/>
    </row>
    <row r="185" spans="1:16" ht="12.75" customHeight="1">
      <c r="A185">
        <f t="shared" si="2"/>
        <v>184</v>
      </c>
      <c r="B185" t="s">
        <v>2377</v>
      </c>
      <c r="C185">
        <v>2</v>
      </c>
      <c r="D185">
        <v>246</v>
      </c>
      <c r="E185" s="2" t="str">
        <f ca="1">VLOOKUP( Aop!$A185, Aop!$A$2:$P$456, ID_Jezik +10, 1)</f>
        <v>562</v>
      </c>
      <c r="F185" t="str">
        <f ca="1">REPT( "  ", Aop!$C185) &amp; VLOOKUP( Aop!$A185, Aop!$A$2:$P$456, ID_Jezik + 6, 1)</f>
        <v xml:space="preserve">    2. Negativne kursne razlike</v>
      </c>
      <c r="G185" s="285" t="s">
        <v>2727</v>
      </c>
      <c r="H185" s="285" t="s">
        <v>2723</v>
      </c>
      <c r="I185" s="292" t="s">
        <v>476</v>
      </c>
      <c r="J185" s="369" t="s">
        <v>772</v>
      </c>
      <c r="K185" s="375" t="s">
        <v>2760</v>
      </c>
      <c r="L185" s="270">
        <v>562</v>
      </c>
      <c r="M185" s="290">
        <v>562</v>
      </c>
      <c r="N185" s="290">
        <v>562</v>
      </c>
      <c r="O185" s="10">
        <v>1</v>
      </c>
      <c r="P185" s="10"/>
    </row>
    <row r="186" spans="1:16" ht="12.75" customHeight="1">
      <c r="A186">
        <f t="shared" si="2"/>
        <v>185</v>
      </c>
      <c r="B186" t="s">
        <v>2377</v>
      </c>
      <c r="C186">
        <v>2</v>
      </c>
      <c r="D186">
        <v>247</v>
      </c>
      <c r="E186" s="2" t="str">
        <f ca="1">VLOOKUP( Aop!$A186, Aop!$A$2:$P$456, ID_Jezik +10, 1)</f>
        <v>563</v>
      </c>
      <c r="F186" t="str">
        <f ca="1">REPT( "  ", Aop!$C186) &amp; VLOOKUP( Aop!$A186, Aop!$A$2:$P$456, ID_Jezik + 6, 1)</f>
        <v xml:space="preserve">    3. Rashodi po osnovu valutne klauzule</v>
      </c>
      <c r="G186" s="285" t="s">
        <v>2728</v>
      </c>
      <c r="H186" s="285" t="s">
        <v>2724</v>
      </c>
      <c r="I186" s="292" t="s">
        <v>477</v>
      </c>
      <c r="J186" s="369" t="s">
        <v>774</v>
      </c>
      <c r="K186" s="375" t="s">
        <v>2761</v>
      </c>
      <c r="L186" s="270">
        <v>563</v>
      </c>
      <c r="M186" s="290">
        <v>563</v>
      </c>
      <c r="N186" s="290">
        <v>563</v>
      </c>
      <c r="O186" s="10">
        <v>1</v>
      </c>
      <c r="P186" s="10"/>
    </row>
    <row r="187" spans="1:16" ht="12.75" customHeight="1">
      <c r="A187">
        <f t="shared" si="2"/>
        <v>186</v>
      </c>
      <c r="B187" t="s">
        <v>2377</v>
      </c>
      <c r="C187">
        <v>2</v>
      </c>
      <c r="D187">
        <v>248</v>
      </c>
      <c r="E187" s="2" t="str">
        <f ca="1">VLOOKUP( Aop!$A187, Aop!$A$2:$P$456, ID_Jezik +10, 1)</f>
        <v>569</v>
      </c>
      <c r="F187" t="str">
        <f ca="1">REPT( "  ", Aop!$C187) &amp; VLOOKUP( Aop!$A187, Aop!$A$2:$P$456, ID_Jezik + 6, 1)</f>
        <v xml:space="preserve">    4. Ostali finansijski rashodi</v>
      </c>
      <c r="G187" s="285" t="s">
        <v>2729</v>
      </c>
      <c r="H187" s="285" t="s">
        <v>2725</v>
      </c>
      <c r="I187" s="292" t="s">
        <v>478</v>
      </c>
      <c r="J187" s="369" t="s">
        <v>362</v>
      </c>
      <c r="K187" s="375" t="s">
        <v>2762</v>
      </c>
      <c r="L187" s="270">
        <v>569</v>
      </c>
      <c r="M187" s="290">
        <v>569</v>
      </c>
      <c r="N187" s="290">
        <v>569</v>
      </c>
      <c r="O187" s="10">
        <v>1</v>
      </c>
      <c r="P187" s="10"/>
    </row>
    <row r="188" spans="1:16" ht="24" customHeight="1">
      <c r="A188">
        <f t="shared" si="2"/>
        <v>187</v>
      </c>
      <c r="B188" t="s">
        <v>2377</v>
      </c>
      <c r="C188">
        <v>1</v>
      </c>
      <c r="D188">
        <v>249</v>
      </c>
      <c r="E188" s="2">
        <f ca="1">VLOOKUP( Aop!$A188, Aop!$A$2:$P$456, ID_Jezik +10, 1)</f>
        <v>0</v>
      </c>
      <c r="F188" t="str">
        <f ca="1">REPT( "  ", Aop!$C188) &amp; VLOOKUP( Aop!$A188, Aop!$A$2:$P$456, ID_Jezik + 6, 1)</f>
        <v xml:space="preserve">  D. DOBITAK REDOVNE AKTIVNOSTI  (237 + 239 – 244) ili (239-244-238)     </v>
      </c>
      <c r="G188" s="288" t="s">
        <v>802</v>
      </c>
      <c r="H188" s="288" t="s">
        <v>2267</v>
      </c>
      <c r="I188" s="292" t="s">
        <v>2268</v>
      </c>
      <c r="J188" s="369" t="s">
        <v>713</v>
      </c>
      <c r="K188" s="375"/>
      <c r="L188" s="270"/>
      <c r="M188" s="290"/>
      <c r="N188" s="290"/>
      <c r="O188" s="10">
        <v>1</v>
      </c>
      <c r="P188" s="10"/>
    </row>
    <row r="189" spans="1:16" ht="24" customHeight="1">
      <c r="A189">
        <f t="shared" si="2"/>
        <v>188</v>
      </c>
      <c r="B189" t="s">
        <v>2377</v>
      </c>
      <c r="C189">
        <v>1</v>
      </c>
      <c r="D189">
        <v>250</v>
      </c>
      <c r="E189" s="2">
        <f ca="1">VLOOKUP( Aop!$A189, Aop!$A$2:$P$456, ID_Jezik +10, 1)</f>
        <v>0</v>
      </c>
      <c r="F189" t="str">
        <f ca="1">REPT( "  ", Aop!$C189) &amp; VLOOKUP( Aop!$A189, Aop!$A$2:$P$456, ID_Jezik + 6, 1)</f>
        <v xml:space="preserve">  Đ. GUBITAK REDOVNE AKTIVNOSTI (238 + 244 -239) ili (244-239-237)</v>
      </c>
      <c r="G189" s="288" t="s">
        <v>803</v>
      </c>
      <c r="H189" s="288" t="s">
        <v>2266</v>
      </c>
      <c r="I189" s="292" t="s">
        <v>1149</v>
      </c>
      <c r="J189" s="369" t="s">
        <v>714</v>
      </c>
      <c r="K189" s="375"/>
      <c r="L189" s="270"/>
      <c r="M189" s="290"/>
      <c r="N189" s="290"/>
      <c r="O189" s="10"/>
      <c r="P189" s="10"/>
    </row>
    <row r="190" spans="1:16" ht="12.75" customHeight="1">
      <c r="A190">
        <f t="shared" si="2"/>
        <v>189</v>
      </c>
      <c r="B190" t="s">
        <v>2377</v>
      </c>
      <c r="C190">
        <v>1</v>
      </c>
      <c r="D190">
        <v>251</v>
      </c>
      <c r="E190" s="2" t="str">
        <f ca="1">VLOOKUP( Aop!$A190, Aop!$A$2:$P$456, ID_Jezik +10, 1)</f>
        <v>67</v>
      </c>
      <c r="F190" t="str">
        <f ca="1">REPT( "  ", Aop!$C190) &amp; VLOOKUP( Aop!$A190, Aop!$A$2:$P$456, ID_Jezik + 6, 1)</f>
        <v xml:space="preserve">  E. OSTALI DOBICI I GUBICI I OSTALI PRIHODI I DOBICI (252 do 260)</v>
      </c>
      <c r="G190" s="285" t="s">
        <v>1367</v>
      </c>
      <c r="H190" s="285" t="s">
        <v>1368</v>
      </c>
      <c r="I190" s="292" t="s">
        <v>1369</v>
      </c>
      <c r="J190" s="369" t="s">
        <v>1148</v>
      </c>
      <c r="K190" s="375" t="s">
        <v>2763</v>
      </c>
      <c r="L190" s="270">
        <v>67</v>
      </c>
      <c r="M190" s="290">
        <v>67</v>
      </c>
      <c r="N190" s="290">
        <v>67</v>
      </c>
      <c r="O190" s="10"/>
      <c r="P190" s="10"/>
    </row>
    <row r="191" spans="1:16" ht="12.75" customHeight="1">
      <c r="A191">
        <f t="shared" si="2"/>
        <v>190</v>
      </c>
      <c r="B191" t="s">
        <v>2377</v>
      </c>
      <c r="C191">
        <v>2</v>
      </c>
      <c r="D191">
        <v>252</v>
      </c>
      <c r="E191" s="2" t="str">
        <f ca="1">VLOOKUP( Aop!$A191, Aop!$A$2:$P$456, ID_Jezik +10, 1)</f>
        <v>670, 570 neto prikaz</v>
      </c>
      <c r="F191" t="str">
        <f ca="1">REPT( "  ", Aop!$C191) &amp; VLOOKUP( Aop!$A191, Aop!$A$2:$P$456, ID_Jezik + 6, 1)</f>
        <v xml:space="preserve">    1. Neto dobici po osnovu prodaje nematerijalnih sredstava, nekretnina, postrojenja i opreme</v>
      </c>
      <c r="G191" s="285" t="s">
        <v>165</v>
      </c>
      <c r="H191" s="285" t="s">
        <v>175</v>
      </c>
      <c r="I191" s="292" t="s">
        <v>479</v>
      </c>
      <c r="J191" s="369" t="s">
        <v>775</v>
      </c>
      <c r="K191" s="375" t="s">
        <v>2764</v>
      </c>
      <c r="L191" s="270" t="s">
        <v>1023</v>
      </c>
      <c r="M191" s="290" t="s">
        <v>1861</v>
      </c>
      <c r="N191" s="290" t="s">
        <v>100</v>
      </c>
      <c r="O191" s="10"/>
      <c r="P191" s="10"/>
    </row>
    <row r="192" spans="1:16" ht="12.75" customHeight="1">
      <c r="A192">
        <f t="shared" si="2"/>
        <v>191</v>
      </c>
      <c r="B192" t="s">
        <v>2377</v>
      </c>
      <c r="C192">
        <v>2</v>
      </c>
      <c r="D192">
        <v>253</v>
      </c>
      <c r="E192" s="2" t="str">
        <f ca="1">VLOOKUP( Aop!$A192, Aop!$A$2:$P$456, ID_Jezik +10, 1)</f>
        <v>671, 571 neto prikaz</v>
      </c>
      <c r="F192" t="str">
        <f ca="1">REPT( "  ", Aop!$C192) &amp; VLOOKUP( Aop!$A192, Aop!$A$2:$P$456, ID_Jezik + 6, 1)</f>
        <v xml:space="preserve">    2. Neto dobici po osnovu prodaje investicionih nekretnina</v>
      </c>
      <c r="G192" s="285" t="s">
        <v>166</v>
      </c>
      <c r="H192" s="285" t="s">
        <v>176</v>
      </c>
      <c r="I192" s="292" t="s">
        <v>480</v>
      </c>
      <c r="J192" s="369" t="s">
        <v>776</v>
      </c>
      <c r="K192" s="375" t="s">
        <v>2765</v>
      </c>
      <c r="L192" s="270" t="s">
        <v>1024</v>
      </c>
      <c r="M192" s="290" t="s">
        <v>1862</v>
      </c>
      <c r="N192" s="290" t="s">
        <v>101</v>
      </c>
      <c r="O192" s="10"/>
      <c r="P192" s="10"/>
    </row>
    <row r="193" spans="1:16" ht="12.75" customHeight="1">
      <c r="A193">
        <f t="shared" si="2"/>
        <v>192</v>
      </c>
      <c r="B193" t="s">
        <v>2377</v>
      </c>
      <c r="C193">
        <v>2</v>
      </c>
      <c r="D193">
        <v>254</v>
      </c>
      <c r="E193" s="2" t="str">
        <f ca="1">VLOOKUP( Aop!$A193, Aop!$A$2:$P$456, ID_Jezik +10, 1)</f>
        <v>672, 572 neto prikaz</v>
      </c>
      <c r="F193" t="str">
        <f ca="1">REPT( "  ", Aop!$C193) &amp; VLOOKUP( Aop!$A193, Aop!$A$2:$P$456, ID_Jezik + 6, 1)</f>
        <v xml:space="preserve">    3. Neto dobici po osnovu prodaje bioloških sredstava</v>
      </c>
      <c r="G193" s="285" t="s">
        <v>605</v>
      </c>
      <c r="H193" s="285" t="s">
        <v>177</v>
      </c>
      <c r="I193" s="292" t="s">
        <v>481</v>
      </c>
      <c r="J193" s="369" t="s">
        <v>777</v>
      </c>
      <c r="K193" s="375" t="s">
        <v>2766</v>
      </c>
      <c r="L193" s="270" t="s">
        <v>1025</v>
      </c>
      <c r="M193" s="290" t="s">
        <v>1863</v>
      </c>
      <c r="N193" s="290" t="s">
        <v>102</v>
      </c>
      <c r="O193" s="10"/>
      <c r="P193" s="10"/>
    </row>
    <row r="194" spans="1:16" ht="12.75" customHeight="1">
      <c r="A194">
        <f t="shared" si="2"/>
        <v>193</v>
      </c>
      <c r="B194" t="s">
        <v>2377</v>
      </c>
      <c r="C194">
        <v>2</v>
      </c>
      <c r="D194">
        <v>255</v>
      </c>
      <c r="E194" s="2" t="str">
        <f ca="1">VLOOKUP( Aop!$A194, Aop!$A$2:$P$456, ID_Jezik +10, 1)</f>
        <v>673, 573, neto prikaz</v>
      </c>
      <c r="F194" t="str">
        <f ca="1">REPT( "  ", Aop!$C194) &amp; VLOOKUP( Aop!$A194, Aop!$A$2:$P$456, ID_Jezik + 6, 1)</f>
        <v xml:space="preserve">    4. Neto dobici po osnovu prodaje stalnih sredstava namijenjenih prodaji i sredstava poslovanja koje se obustavlja</v>
      </c>
      <c r="G194" s="285" t="s">
        <v>167</v>
      </c>
      <c r="H194" s="285" t="s">
        <v>178</v>
      </c>
      <c r="I194" s="292" t="s">
        <v>482</v>
      </c>
      <c r="J194" s="369" t="s">
        <v>782</v>
      </c>
      <c r="K194" s="375" t="s">
        <v>2767</v>
      </c>
      <c r="L194" s="270" t="s">
        <v>1026</v>
      </c>
      <c r="M194" s="290" t="s">
        <v>1864</v>
      </c>
      <c r="N194" s="290" t="s">
        <v>103</v>
      </c>
      <c r="O194" s="10"/>
      <c r="P194" s="10"/>
    </row>
    <row r="195" spans="1:16" ht="12.75" customHeight="1">
      <c r="A195">
        <f t="shared" si="2"/>
        <v>194</v>
      </c>
      <c r="B195" t="s">
        <v>2377</v>
      </c>
      <c r="C195">
        <v>2</v>
      </c>
      <c r="D195">
        <v>256</v>
      </c>
      <c r="E195" s="2" t="str">
        <f ca="1">VLOOKUP( Aop!$A195, Aop!$A$2:$P$456, ID_Jezik +10, 1)</f>
        <v>674, 574 neto prikaz</v>
      </c>
      <c r="F195" t="str">
        <f ca="1">REPT( "  ", Aop!$C195) &amp; VLOOKUP( Aop!$A195, Aop!$A$2:$P$456, ID_Jezik + 6, 1)</f>
        <v xml:space="preserve">    5. Neto dobici po osnovu prodaje finansijskih sredstava i ulaganja u povezana lica</v>
      </c>
      <c r="G195" s="285" t="s">
        <v>168</v>
      </c>
      <c r="H195" s="285" t="s">
        <v>174</v>
      </c>
      <c r="I195" s="292" t="s">
        <v>483</v>
      </c>
      <c r="J195" s="369" t="s">
        <v>778</v>
      </c>
      <c r="K195" s="375" t="s">
        <v>2768</v>
      </c>
      <c r="L195" s="270" t="s">
        <v>1027</v>
      </c>
      <c r="M195" s="290" t="s">
        <v>1865</v>
      </c>
      <c r="N195" s="290" t="s">
        <v>104</v>
      </c>
      <c r="O195" s="10"/>
      <c r="P195" s="10"/>
    </row>
    <row r="196" spans="1:16" ht="25.5" customHeight="1">
      <c r="A196">
        <f t="shared" si="2"/>
        <v>195</v>
      </c>
      <c r="B196" t="s">
        <v>2377</v>
      </c>
      <c r="C196">
        <v>2</v>
      </c>
      <c r="D196">
        <v>257</v>
      </c>
      <c r="E196" s="2" t="str">
        <f ca="1">VLOOKUP( Aop!$A196, Aop!$A$2:$P$456, ID_Jezik +10, 1)</f>
        <v>675, 575 neto prikaz</v>
      </c>
      <c r="F196" t="str">
        <f ca="1">REPT( "  ", Aop!$C196) &amp; VLOOKUP( Aop!$A196, Aop!$A$2:$P$456, ID_Jezik + 6, 1)</f>
        <v xml:space="preserve">    6. Neto dobici po osnovu prodaje materijala</v>
      </c>
      <c r="G196" s="285" t="s">
        <v>169</v>
      </c>
      <c r="H196" s="285" t="s">
        <v>173</v>
      </c>
      <c r="I196" s="292" t="s">
        <v>484</v>
      </c>
      <c r="J196" s="369" t="s">
        <v>779</v>
      </c>
      <c r="K196" s="375" t="s">
        <v>2769</v>
      </c>
      <c r="L196" s="270" t="s">
        <v>1028</v>
      </c>
      <c r="M196" s="290" t="s">
        <v>1866</v>
      </c>
      <c r="N196" s="290" t="s">
        <v>105</v>
      </c>
      <c r="O196" s="10"/>
      <c r="P196" s="10"/>
    </row>
    <row r="197" spans="1:16">
      <c r="A197">
        <f t="shared" si="2"/>
        <v>196</v>
      </c>
      <c r="B197" t="s">
        <v>2377</v>
      </c>
      <c r="C197">
        <v>2</v>
      </c>
      <c r="D197">
        <v>258</v>
      </c>
      <c r="E197" s="2" t="str">
        <f ca="1">VLOOKUP( Aop!$A197, Aop!$A$2:$P$456, ID_Jezik +10, 1)</f>
        <v>676</v>
      </c>
      <c r="F197" t="str">
        <f ca="1">REPT( "  ", Aop!$C197) &amp; VLOOKUP( Aop!$A197, Aop!$A$2:$P$456, ID_Jezik + 6, 1)</f>
        <v xml:space="preserve">    7. Viškovi</v>
      </c>
      <c r="G197" s="285" t="s">
        <v>170</v>
      </c>
      <c r="H197" s="285" t="s">
        <v>179</v>
      </c>
      <c r="I197" s="292" t="s">
        <v>485</v>
      </c>
      <c r="J197" s="369" t="s">
        <v>780</v>
      </c>
      <c r="K197" s="375" t="s">
        <v>2770</v>
      </c>
      <c r="L197" s="270">
        <v>676</v>
      </c>
      <c r="M197" s="290">
        <v>676</v>
      </c>
      <c r="N197" s="290">
        <v>676</v>
      </c>
      <c r="O197" s="10"/>
      <c r="P197" s="10">
        <v>1</v>
      </c>
    </row>
    <row r="198" spans="1:16" ht="12.75" customHeight="1">
      <c r="A198">
        <f t="shared" ref="A198:A241" si="3">ROW()-ROW($A$1)</f>
        <v>197</v>
      </c>
      <c r="B198" t="s">
        <v>2377</v>
      </c>
      <c r="C198">
        <v>2</v>
      </c>
      <c r="D198">
        <v>259</v>
      </c>
      <c r="E198" s="2" t="str">
        <f ca="1">VLOOKUP( Aop!$A198, Aop!$A$2:$P$456, ID_Jezik +10, 1)</f>
        <v>677, 679</v>
      </c>
      <c r="F198" t="str">
        <f ca="1">REPT( "  ", Aop!$C198) &amp; VLOOKUP( Aop!$A198, Aop!$A$2:$P$456, ID_Jezik + 6, 1)</f>
        <v xml:space="preserve">    8. Ostali prihodi i dobici </v>
      </c>
      <c r="G198" s="285" t="s">
        <v>171</v>
      </c>
      <c r="H198" s="285" t="s">
        <v>180</v>
      </c>
      <c r="I198" s="292" t="s">
        <v>486</v>
      </c>
      <c r="J198" s="369" t="s">
        <v>781</v>
      </c>
      <c r="K198" s="375" t="s">
        <v>1029</v>
      </c>
      <c r="L198" s="270" t="s">
        <v>1029</v>
      </c>
      <c r="M198" s="290" t="s">
        <v>1029</v>
      </c>
      <c r="N198" s="290" t="s">
        <v>1029</v>
      </c>
      <c r="O198" s="10"/>
      <c r="P198" s="10">
        <v>1</v>
      </c>
    </row>
    <row r="199" spans="1:16" ht="12.75" customHeight="1">
      <c r="A199">
        <f t="shared" si="3"/>
        <v>198</v>
      </c>
      <c r="B199" t="s">
        <v>2377</v>
      </c>
      <c r="C199">
        <v>2</v>
      </c>
      <c r="D199">
        <v>260</v>
      </c>
      <c r="E199" s="2" t="str">
        <f ca="1">VLOOKUP( Aop!$A199, Aop!$A$2:$P$456, ID_Jezik +10, 1)</f>
        <v>678, 577</v>
      </c>
      <c r="F199" t="str">
        <f ca="1">REPT( "  ", Aop!$C199) &amp; VLOOKUP( Aop!$A199, Aop!$A$2:$P$456, ID_Jezik + 6, 1)</f>
        <v xml:space="preserve">    9.  Neto dobici od derivatnih finansijskih instrumenata </v>
      </c>
      <c r="G199" s="285" t="s">
        <v>172</v>
      </c>
      <c r="H199" s="285" t="s">
        <v>181</v>
      </c>
      <c r="I199" s="292" t="s">
        <v>487</v>
      </c>
      <c r="J199" s="369" t="s">
        <v>783</v>
      </c>
      <c r="K199" s="375" t="s">
        <v>1030</v>
      </c>
      <c r="L199" s="270" t="s">
        <v>1030</v>
      </c>
      <c r="M199" s="290" t="s">
        <v>1030</v>
      </c>
      <c r="N199" s="290" t="s">
        <v>1030</v>
      </c>
      <c r="O199" s="10">
        <v>1</v>
      </c>
      <c r="P199" s="10"/>
    </row>
    <row r="200" spans="1:16" ht="12.75" customHeight="1">
      <c r="A200">
        <f t="shared" si="3"/>
        <v>199</v>
      </c>
      <c r="B200" t="s">
        <v>2377</v>
      </c>
      <c r="C200">
        <v>1</v>
      </c>
      <c r="D200">
        <v>261</v>
      </c>
      <c r="E200" s="2" t="str">
        <f ca="1">VLOOKUP( Aop!$A200, Aop!$A$2:$P$456, ID_Jezik +10, 1)</f>
        <v>57</v>
      </c>
      <c r="F200" t="str">
        <f ca="1">REPT( "  ", Aop!$C200) &amp; VLOOKUP( Aop!$A200, Aop!$A$2:$P$456, ID_Jezik + 6, 1)</f>
        <v xml:space="preserve">  II  OSTALI RASHODI I GUBICI (262 do 270)</v>
      </c>
      <c r="G200" s="285" t="s">
        <v>1074</v>
      </c>
      <c r="H200" s="285" t="s">
        <v>881</v>
      </c>
      <c r="I200" s="292" t="s">
        <v>149</v>
      </c>
      <c r="J200" s="369" t="s">
        <v>715</v>
      </c>
      <c r="K200" s="375" t="s">
        <v>2771</v>
      </c>
      <c r="L200" s="270">
        <v>57</v>
      </c>
      <c r="M200" s="290">
        <v>57</v>
      </c>
      <c r="N200" s="290">
        <v>57</v>
      </c>
      <c r="O200" s="10"/>
      <c r="P200" s="10"/>
    </row>
    <row r="201" spans="1:16" ht="12.75" customHeight="1">
      <c r="A201">
        <f t="shared" si="3"/>
        <v>200</v>
      </c>
      <c r="B201" t="s">
        <v>2377</v>
      </c>
      <c r="C201">
        <v>2</v>
      </c>
      <c r="D201">
        <v>262</v>
      </c>
      <c r="E201" s="2" t="str">
        <f ca="1">VLOOKUP( Aop!$A201, Aop!$A$2:$P$456, ID_Jezik +10, 1)</f>
        <v>570, 670 neto prikaz</v>
      </c>
      <c r="F201" t="str">
        <f ca="1">REPT( "  ", Aop!$C201) &amp; VLOOKUP( Aop!$A201, Aop!$A$2:$P$456, ID_Jezik + 6, 1)</f>
        <v xml:space="preserve">    1. Neto gubici po osnovu otuđenja nematerijalnih sredstava, nekretnina, postrojenja i opreme</v>
      </c>
      <c r="G201" s="285" t="s">
        <v>3052</v>
      </c>
      <c r="H201" s="285" t="s">
        <v>3043</v>
      </c>
      <c r="I201" s="292" t="s">
        <v>488</v>
      </c>
      <c r="J201" s="369" t="s">
        <v>784</v>
      </c>
      <c r="K201" s="375" t="s">
        <v>2772</v>
      </c>
      <c r="L201" s="270" t="s">
        <v>1031</v>
      </c>
      <c r="M201" s="290" t="s">
        <v>1867</v>
      </c>
      <c r="N201" s="290" t="s">
        <v>106</v>
      </c>
      <c r="O201" s="10"/>
      <c r="P201" s="10"/>
    </row>
    <row r="202" spans="1:16" ht="12.75" customHeight="1">
      <c r="A202">
        <f t="shared" si="3"/>
        <v>201</v>
      </c>
      <c r="B202" t="s">
        <v>2377</v>
      </c>
      <c r="C202">
        <v>2</v>
      </c>
      <c r="D202">
        <v>263</v>
      </c>
      <c r="E202" s="2" t="str">
        <f ca="1">VLOOKUP( Aop!$A202, Aop!$A$2:$P$456, ID_Jezik +10, 1)</f>
        <v>571, 671 neto prikaz</v>
      </c>
      <c r="F202" t="str">
        <f ca="1">REPT( "  ", Aop!$C202) &amp; VLOOKUP( Aop!$A202, Aop!$A$2:$P$456, ID_Jezik + 6, 1)</f>
        <v xml:space="preserve">    2. Neto gubici po osnovu otuđenja investicionih nekretnina</v>
      </c>
      <c r="G202" s="285" t="s">
        <v>3051</v>
      </c>
      <c r="H202" s="285" t="s">
        <v>3042</v>
      </c>
      <c r="I202" s="292" t="s">
        <v>489</v>
      </c>
      <c r="J202" s="369" t="s">
        <v>785</v>
      </c>
      <c r="K202" s="375" t="s">
        <v>2773</v>
      </c>
      <c r="L202" s="270" t="s">
        <v>1032</v>
      </c>
      <c r="M202" s="290" t="s">
        <v>1868</v>
      </c>
      <c r="N202" s="290" t="s">
        <v>107</v>
      </c>
      <c r="O202" s="10"/>
      <c r="P202" s="10"/>
    </row>
    <row r="203" spans="1:16" ht="12.75" customHeight="1">
      <c r="A203">
        <f t="shared" si="3"/>
        <v>202</v>
      </c>
      <c r="B203" t="s">
        <v>2377</v>
      </c>
      <c r="C203">
        <v>2</v>
      </c>
      <c r="D203">
        <v>264</v>
      </c>
      <c r="E203" s="2" t="str">
        <f ca="1">VLOOKUP( Aop!$A203, Aop!$A$2:$P$456, ID_Jezik +10, 1)</f>
        <v>572, 672 neto prikaz</v>
      </c>
      <c r="F203" t="str">
        <f ca="1">REPT( "  ", Aop!$C203) &amp; VLOOKUP( Aop!$A203, Aop!$A$2:$P$456, ID_Jezik + 6, 1)</f>
        <v xml:space="preserve">    3. Neto gubici po osnovu otuđenja bioloških sredstava</v>
      </c>
      <c r="G203" s="285" t="s">
        <v>3050</v>
      </c>
      <c r="H203" s="285" t="s">
        <v>3041</v>
      </c>
      <c r="I203" s="292" t="s">
        <v>490</v>
      </c>
      <c r="J203" s="369" t="s">
        <v>786</v>
      </c>
      <c r="K203" s="375" t="s">
        <v>2774</v>
      </c>
      <c r="L203" s="270" t="s">
        <v>1033</v>
      </c>
      <c r="M203" s="290" t="s">
        <v>1869</v>
      </c>
      <c r="N203" s="290" t="s">
        <v>108</v>
      </c>
      <c r="O203" s="10"/>
      <c r="P203" s="10"/>
    </row>
    <row r="204" spans="1:16" ht="12.75" customHeight="1">
      <c r="A204">
        <f t="shared" si="3"/>
        <v>203</v>
      </c>
      <c r="B204" t="s">
        <v>2377</v>
      </c>
      <c r="C204">
        <v>2</v>
      </c>
      <c r="D204">
        <v>265</v>
      </c>
      <c r="E204" s="2" t="str">
        <f ca="1">VLOOKUP( Aop!$A204, Aop!$A$2:$P$456, ID_Jezik +10, 1)</f>
        <v>573, 673, neto prikaz</v>
      </c>
      <c r="F204" t="str">
        <f ca="1">REPT( "  ", Aop!$C204) &amp; VLOOKUP( Aop!$A204, Aop!$A$2:$P$456, ID_Jezik + 6, 1)</f>
        <v xml:space="preserve">    4. Neto gubici po osnovu otuđenja stalnih sredstava namijenjenih prodaji i sredstava poslovanja koje se obustavlja</v>
      </c>
      <c r="G204" s="285" t="s">
        <v>3049</v>
      </c>
      <c r="H204" s="285" t="s">
        <v>3040</v>
      </c>
      <c r="I204" s="292" t="s">
        <v>491</v>
      </c>
      <c r="J204" s="369" t="s">
        <v>787</v>
      </c>
      <c r="K204" s="375" t="s">
        <v>2775</v>
      </c>
      <c r="L204" s="270" t="s">
        <v>1034</v>
      </c>
      <c r="M204" s="290" t="s">
        <v>1870</v>
      </c>
      <c r="N204" s="290" t="s">
        <v>109</v>
      </c>
      <c r="O204" s="10"/>
      <c r="P204" s="10"/>
    </row>
    <row r="205" spans="1:16" ht="12.75" customHeight="1">
      <c r="A205">
        <f t="shared" si="3"/>
        <v>204</v>
      </c>
      <c r="B205" t="s">
        <v>2377</v>
      </c>
      <c r="C205">
        <v>2</v>
      </c>
      <c r="D205">
        <v>266</v>
      </c>
      <c r="E205" s="2" t="str">
        <f ca="1">VLOOKUP( Aop!$A205, Aop!$A$2:$P$456, ID_Jezik +10, 1)</f>
        <v>574, 674 neto prikaz</v>
      </c>
      <c r="F205" t="str">
        <f ca="1">REPT( "  ", Aop!$C205) &amp; VLOOKUP( Aop!$A205, Aop!$A$2:$P$456, ID_Jezik + 6, 1)</f>
        <v xml:space="preserve">    5. Neto gubici od otuđenja finansijskih sredstava i ulaganja u povezana lica</v>
      </c>
      <c r="G205" s="285" t="s">
        <v>3044</v>
      </c>
      <c r="H205" s="285" t="s">
        <v>3038</v>
      </c>
      <c r="I205" s="292" t="s">
        <v>492</v>
      </c>
      <c r="J205" s="369" t="s">
        <v>788</v>
      </c>
      <c r="K205" s="375" t="s">
        <v>2776</v>
      </c>
      <c r="L205" s="270" t="s">
        <v>1035</v>
      </c>
      <c r="M205" s="290" t="s">
        <v>1871</v>
      </c>
      <c r="N205" s="290" t="s">
        <v>110</v>
      </c>
      <c r="O205" s="10"/>
      <c r="P205" s="10"/>
    </row>
    <row r="206" spans="1:16" ht="17.25" customHeight="1">
      <c r="A206">
        <f t="shared" si="3"/>
        <v>205</v>
      </c>
      <c r="B206" t="s">
        <v>2377</v>
      </c>
      <c r="C206">
        <v>2</v>
      </c>
      <c r="D206">
        <v>267</v>
      </c>
      <c r="E206" s="2" t="str">
        <f ca="1">VLOOKUP( Aop!$A206, Aop!$A$2:$P$456, ID_Jezik +10, 1)</f>
        <v xml:space="preserve">575, 675 neto prikaz </v>
      </c>
      <c r="F206" t="str">
        <f ca="1">REPT( "  ", Aop!$C206) &amp; VLOOKUP( Aop!$A206, Aop!$A$2:$P$456, ID_Jezik + 6, 1)</f>
        <v xml:space="preserve">    6. Neto gubici po osnovu prodaje materijala</v>
      </c>
      <c r="G206" s="285" t="s">
        <v>3045</v>
      </c>
      <c r="H206" s="285" t="s">
        <v>3035</v>
      </c>
      <c r="I206" s="292" t="s">
        <v>493</v>
      </c>
      <c r="J206" s="369" t="s">
        <v>789</v>
      </c>
      <c r="K206" s="375" t="s">
        <v>2777</v>
      </c>
      <c r="L206" s="270" t="s">
        <v>1036</v>
      </c>
      <c r="M206" s="290" t="s">
        <v>1872</v>
      </c>
      <c r="N206" s="290" t="s">
        <v>111</v>
      </c>
      <c r="O206" s="10"/>
      <c r="P206" s="10"/>
    </row>
    <row r="207" spans="1:16">
      <c r="A207">
        <f t="shared" si="3"/>
        <v>206</v>
      </c>
      <c r="B207" t="s">
        <v>2377</v>
      </c>
      <c r="C207">
        <v>2</v>
      </c>
      <c r="D207">
        <v>268</v>
      </c>
      <c r="E207" s="2" t="str">
        <f ca="1">VLOOKUP( Aop!$A207, Aop!$A$2:$P$456, ID_Jezik +10, 1)</f>
        <v>576</v>
      </c>
      <c r="F207" t="str">
        <f ca="1">REPT( "  ", Aop!$C207) &amp; VLOOKUP( Aop!$A207, Aop!$A$2:$P$456, ID_Jezik + 6, 1)</f>
        <v xml:space="preserve">    7.  Manjkovi</v>
      </c>
      <c r="G207" s="285" t="s">
        <v>3046</v>
      </c>
      <c r="H207" s="285" t="s">
        <v>3036</v>
      </c>
      <c r="I207" s="292" t="s">
        <v>494</v>
      </c>
      <c r="J207" s="369" t="s">
        <v>790</v>
      </c>
      <c r="K207" s="375" t="s">
        <v>2778</v>
      </c>
      <c r="L207" s="270">
        <v>576</v>
      </c>
      <c r="M207" s="290">
        <v>576</v>
      </c>
      <c r="N207" s="290">
        <v>576</v>
      </c>
      <c r="O207" s="10"/>
      <c r="P207" s="10">
        <v>1</v>
      </c>
    </row>
    <row r="208" spans="1:16" ht="12.75" customHeight="1">
      <c r="A208">
        <f t="shared" si="3"/>
        <v>207</v>
      </c>
      <c r="B208" t="s">
        <v>2377</v>
      </c>
      <c r="C208">
        <v>2</v>
      </c>
      <c r="D208">
        <v>269</v>
      </c>
      <c r="E208" s="2" t="str">
        <f ca="1">VLOOKUP( Aop!$A208, Aop!$A$2:$P$456, ID_Jezik +10, 1)</f>
        <v>577, 678 neto prikaz</v>
      </c>
      <c r="F208" t="str">
        <f ca="1">REPT( "  ", Aop!$C208) &amp; VLOOKUP( Aop!$A208, Aop!$A$2:$P$456, ID_Jezik + 6, 1)</f>
        <v xml:space="preserve">    8. Neto gubici od derivatnih finansijskih instrumenata</v>
      </c>
      <c r="G208" s="285" t="s">
        <v>3047</v>
      </c>
      <c r="H208" s="285" t="s">
        <v>3037</v>
      </c>
      <c r="I208" s="292" t="s">
        <v>495</v>
      </c>
      <c r="J208" s="369" t="s">
        <v>792</v>
      </c>
      <c r="K208" s="375" t="s">
        <v>2779</v>
      </c>
      <c r="L208" s="270" t="s">
        <v>1037</v>
      </c>
      <c r="M208" s="290" t="s">
        <v>1873</v>
      </c>
      <c r="N208" s="290" t="s">
        <v>112</v>
      </c>
      <c r="O208" s="10"/>
      <c r="P208" s="10"/>
    </row>
    <row r="209" spans="1:16" ht="12.75" customHeight="1">
      <c r="A209">
        <f t="shared" si="3"/>
        <v>208</v>
      </c>
      <c r="B209" t="s">
        <v>2377</v>
      </c>
      <c r="C209">
        <v>2</v>
      </c>
      <c r="D209">
        <v>270</v>
      </c>
      <c r="E209" s="2" t="str">
        <f ca="1">VLOOKUP( Aop!$A209, Aop!$A$2:$P$456, ID_Jezik +10, 1)</f>
        <v>578, 579</v>
      </c>
      <c r="F209" t="str">
        <f ca="1">REPT( "  ", Aop!$C209) &amp; VLOOKUP( Aop!$A209, Aop!$A$2:$P$456, ID_Jezik + 6, 1)</f>
        <v xml:space="preserve">    9. Ostali rashodi i gubici</v>
      </c>
      <c r="G209" s="285" t="s">
        <v>3048</v>
      </c>
      <c r="H209" s="285" t="s">
        <v>3039</v>
      </c>
      <c r="I209" s="292" t="s">
        <v>496</v>
      </c>
      <c r="J209" s="369" t="s">
        <v>791</v>
      </c>
      <c r="K209" s="375" t="s">
        <v>1038</v>
      </c>
      <c r="L209" s="270" t="s">
        <v>1038</v>
      </c>
      <c r="M209" s="290" t="s">
        <v>1038</v>
      </c>
      <c r="N209" s="290" t="s">
        <v>1038</v>
      </c>
      <c r="O209" s="10"/>
      <c r="P209" s="10"/>
    </row>
    <row r="210" spans="1:16" ht="12.75" customHeight="1">
      <c r="A210">
        <f t="shared" si="3"/>
        <v>209</v>
      </c>
      <c r="B210" t="s">
        <v>2377</v>
      </c>
      <c r="C210">
        <v>1</v>
      </c>
      <c r="D210">
        <v>271</v>
      </c>
      <c r="E210" s="2">
        <f ca="1">VLOOKUP( Aop!$A210, Aop!$A$2:$P$456, ID_Jezik +10, 1)</f>
        <v>0</v>
      </c>
      <c r="F210" t="str">
        <f ca="1">REPT( "  ", Aop!$C210) &amp; VLOOKUP( Aop!$A210, Aop!$A$2:$P$456, ID_Jezik + 6, 1)</f>
        <v xml:space="preserve">  Ž. DOBITAK PO OSNOVU OSTALIH PRIHODA I RASHODA (251 – 261)</v>
      </c>
      <c r="G210" s="276" t="s">
        <v>1075</v>
      </c>
      <c r="H210" s="285" t="s">
        <v>882</v>
      </c>
      <c r="I210" s="292" t="s">
        <v>497</v>
      </c>
      <c r="J210" s="369" t="s">
        <v>716</v>
      </c>
      <c r="K210" s="375"/>
      <c r="L210" s="270"/>
      <c r="M210" s="290"/>
      <c r="N210" s="290"/>
      <c r="O210" s="10">
        <v>1</v>
      </c>
      <c r="P210" s="10"/>
    </row>
    <row r="211" spans="1:16" ht="12.75" customHeight="1">
      <c r="A211">
        <f t="shared" si="3"/>
        <v>210</v>
      </c>
      <c r="B211" t="s">
        <v>2377</v>
      </c>
      <c r="C211">
        <v>1</v>
      </c>
      <c r="D211">
        <v>272</v>
      </c>
      <c r="E211" s="2">
        <f ca="1">VLOOKUP( Aop!$A211, Aop!$A$2:$P$456, ID_Jezik +10, 1)</f>
        <v>0</v>
      </c>
      <c r="F211" t="str">
        <f ca="1">REPT( "  ", Aop!$C211) &amp; VLOOKUP( Aop!$A211, Aop!$A$2:$P$456, ID_Jezik + 6, 1)</f>
        <v xml:space="preserve">  Z. GUBITAK PO OSNOVU OSTALIH PRIHODA I RASHODA (261 – 251)</v>
      </c>
      <c r="G211" s="276" t="s">
        <v>1076</v>
      </c>
      <c r="H211" s="285" t="s">
        <v>883</v>
      </c>
      <c r="I211" s="292" t="s">
        <v>498</v>
      </c>
      <c r="J211" s="369" t="s">
        <v>717</v>
      </c>
      <c r="K211" s="375"/>
      <c r="L211" s="270"/>
      <c r="M211" s="290"/>
      <c r="N211" s="290"/>
      <c r="O211" s="10">
        <v>1</v>
      </c>
      <c r="P211" s="10"/>
    </row>
    <row r="212" spans="1:16" ht="12.75" customHeight="1">
      <c r="A212">
        <f t="shared" si="3"/>
        <v>211</v>
      </c>
      <c r="B212" t="s">
        <v>2377</v>
      </c>
      <c r="C212">
        <v>1</v>
      </c>
      <c r="D212">
        <v>273</v>
      </c>
      <c r="E212" s="2" t="str">
        <f ca="1">VLOOKUP( Aop!$A212, Aop!$A$2:$P$456, ID_Jezik +10, 1)</f>
        <v>68</v>
      </c>
      <c r="F212" t="str">
        <f ca="1">REPT( "  ", Aop!$C212) &amp; VLOOKUP( Aop!$A212, Aop!$A$2:$P$456, ID_Jezik + 6, 1)</f>
        <v xml:space="preserve">  I. PRIHODI I RASHODI OD USKLAĐIVANJA VRIJEDNOSTI IMOVINE 
I   PRIHODI OD USKLAĐIVANJA VRIJEDNOSTI IMOVINE (274 + 281)</v>
      </c>
      <c r="G212" s="275" t="s">
        <v>1370</v>
      </c>
      <c r="H212" s="288" t="s">
        <v>2265</v>
      </c>
      <c r="I212" s="293" t="s">
        <v>2264</v>
      </c>
      <c r="J212" s="369" t="s">
        <v>2</v>
      </c>
      <c r="K212" s="375" t="s">
        <v>2780</v>
      </c>
      <c r="L212" s="270">
        <v>68</v>
      </c>
      <c r="M212" s="290">
        <v>68</v>
      </c>
      <c r="N212" s="290">
        <v>68</v>
      </c>
      <c r="O212" s="10">
        <v>1</v>
      </c>
      <c r="P212" s="10"/>
    </row>
    <row r="213" spans="1:16" ht="12.75" customHeight="1">
      <c r="A213">
        <f t="shared" si="3"/>
        <v>212</v>
      </c>
      <c r="B213" t="s">
        <v>2377</v>
      </c>
      <c r="C213">
        <v>2</v>
      </c>
      <c r="D213">
        <v>274</v>
      </c>
      <c r="E213" s="2" t="str">
        <f ca="1">VLOOKUP( Aop!$A213, Aop!$A$2:$P$456, ID_Jezik +10, 1)</f>
        <v>dio 68</v>
      </c>
      <c r="F213" t="str">
        <f ca="1">REPT( "  ", Aop!$C213) &amp; VLOOKUP( Aop!$A213, Aop!$A$2:$P$456, ID_Jezik + 6, 1)</f>
        <v xml:space="preserve">    1. Neto dobici od usklađivanja imovine (osim finansijske)  (275 do 280)</v>
      </c>
      <c r="G213" s="285" t="s">
        <v>3053</v>
      </c>
      <c r="H213" s="285" t="s">
        <v>3034</v>
      </c>
      <c r="I213" s="292" t="s">
        <v>499</v>
      </c>
      <c r="J213" s="369" t="s">
        <v>363</v>
      </c>
      <c r="K213" s="375" t="s">
        <v>2781</v>
      </c>
      <c r="L213" s="270" t="s">
        <v>1039</v>
      </c>
      <c r="M213" s="290" t="s">
        <v>113</v>
      </c>
      <c r="N213" s="290" t="s">
        <v>114</v>
      </c>
      <c r="O213" s="10">
        <v>1</v>
      </c>
      <c r="P213" s="10"/>
    </row>
    <row r="214" spans="1:16" ht="12.75" customHeight="1">
      <c r="A214">
        <f t="shared" si="3"/>
        <v>213</v>
      </c>
      <c r="B214" t="s">
        <v>2377</v>
      </c>
      <c r="C214">
        <v>3</v>
      </c>
      <c r="D214">
        <v>275</v>
      </c>
      <c r="E214" s="2" t="str">
        <f ca="1">VLOOKUP( Aop!$A214, Aop!$A$2:$P$456, ID_Jezik +10, 1)</f>
        <v>680, 580 neto prikaz</v>
      </c>
      <c r="F214" t="str">
        <f ca="1">REPT( "  ", Aop!$C214) &amp; VLOOKUP( Aop!$A214, Aop!$A$2:$P$456, ID_Jezik + 6, 1)</f>
        <v xml:space="preserve">      1.1. Neto dobici od umanjenja ranije priznatih gubitaka usljed obezvređenja nematerijalnih sredstava</v>
      </c>
      <c r="G214" s="285" t="s">
        <v>3055</v>
      </c>
      <c r="H214" s="283" t="s">
        <v>884</v>
      </c>
      <c r="I214" s="292" t="s">
        <v>157</v>
      </c>
      <c r="J214" s="369" t="s">
        <v>364</v>
      </c>
      <c r="K214" s="375" t="s">
        <v>2782</v>
      </c>
      <c r="L214" s="270" t="s">
        <v>1040</v>
      </c>
      <c r="M214" s="290" t="s">
        <v>1874</v>
      </c>
      <c r="N214" s="290" t="s">
        <v>115</v>
      </c>
      <c r="O214" s="10"/>
      <c r="P214" s="10"/>
    </row>
    <row r="215" spans="1:16" ht="12.75" customHeight="1">
      <c r="A215">
        <f t="shared" si="3"/>
        <v>214</v>
      </c>
      <c r="B215" t="s">
        <v>2377</v>
      </c>
      <c r="C215">
        <v>3</v>
      </c>
      <c r="D215">
        <v>276</v>
      </c>
      <c r="E215" s="2" t="str">
        <f ca="1">VLOOKUP( Aop!$A215, Aop!$A$2:$P$456, ID_Jezik +10, 1)</f>
        <v>681, 581 neto prikaz</v>
      </c>
      <c r="F215" t="str">
        <f ca="1">REPT( "  ", Aop!$C215) &amp; VLOOKUP( Aop!$A215, Aop!$A$2:$P$456, ID_Jezik + 6, 1)</f>
        <v xml:space="preserve">      1.2. Neto dobici od umanjenja ranije priznatih gubitaka usljed obezvređenja nekretnina, postrojenja i opreme</v>
      </c>
      <c r="G215" s="285" t="s">
        <v>3056</v>
      </c>
      <c r="H215" s="283" t="s">
        <v>3033</v>
      </c>
      <c r="I215" s="292" t="s">
        <v>158</v>
      </c>
      <c r="J215" s="369" t="s">
        <v>365</v>
      </c>
      <c r="K215" s="375" t="s">
        <v>292</v>
      </c>
      <c r="L215" s="270" t="s">
        <v>293</v>
      </c>
      <c r="M215" s="290" t="s">
        <v>1875</v>
      </c>
      <c r="N215" s="290" t="s">
        <v>116</v>
      </c>
      <c r="O215" s="10"/>
      <c r="P215" s="10"/>
    </row>
    <row r="216" spans="1:16" ht="12.75" customHeight="1">
      <c r="A216">
        <f t="shared" si="3"/>
        <v>215</v>
      </c>
      <c r="B216" t="s">
        <v>2377</v>
      </c>
      <c r="C216">
        <v>3</v>
      </c>
      <c r="D216">
        <v>277</v>
      </c>
      <c r="E216" s="2" t="str">
        <f ca="1">VLOOKUP( Aop!$A216, Aop!$A$2:$P$456, ID_Jezik +10, 1)</f>
        <v>682, 582 neto prikaz</v>
      </c>
      <c r="F216" t="str">
        <f ca="1">REPT( "  ", Aop!$C216) &amp; VLOOKUP( Aop!$A216, Aop!$A$2:$P$456, ID_Jezik + 6, 1)</f>
        <v xml:space="preserve">      1.3.  Neto dobici od umanjenja ranije priznatih gubitaka usljed obezvređenja investicionih nekretnina koje se vrednuju po nabavnoj vrijednosti</v>
      </c>
      <c r="G216" s="285" t="s">
        <v>3057</v>
      </c>
      <c r="H216" s="283" t="s">
        <v>3032</v>
      </c>
      <c r="I216" s="292" t="s">
        <v>159</v>
      </c>
      <c r="J216" s="369" t="s">
        <v>366</v>
      </c>
      <c r="K216" s="375" t="s">
        <v>295</v>
      </c>
      <c r="L216" s="270" t="s">
        <v>294</v>
      </c>
      <c r="M216" s="290" t="s">
        <v>1876</v>
      </c>
      <c r="N216" s="290" t="s">
        <v>117</v>
      </c>
      <c r="O216" s="10"/>
      <c r="P216" s="10"/>
    </row>
    <row r="217" spans="1:16" ht="12.75" customHeight="1">
      <c r="A217">
        <f t="shared" si="3"/>
        <v>216</v>
      </c>
      <c r="B217" t="s">
        <v>2377</v>
      </c>
      <c r="C217">
        <v>3</v>
      </c>
      <c r="D217">
        <v>278</v>
      </c>
      <c r="E217" s="2" t="str">
        <f ca="1">VLOOKUP( Aop!$A217, Aop!$A$2:$P$456, ID_Jezik +10, 1)</f>
        <v>683, 583 neto prikaz</v>
      </c>
      <c r="F217" t="str">
        <f ca="1">REPT( "  ", Aop!$C217) &amp; VLOOKUP( Aop!$A217, Aop!$A$2:$P$456, ID_Jezik + 6, 1)</f>
        <v xml:space="preserve">      1.4.  Neto dobici od umanjenja ranije priznatih gubitaka usljed obezvređenja bioloških sredstva koja se vrednuju po nabavnoj vrijednosti</v>
      </c>
      <c r="G217" s="285" t="s">
        <v>1386</v>
      </c>
      <c r="H217" s="283" t="s">
        <v>3031</v>
      </c>
      <c r="I217" s="292" t="s">
        <v>160</v>
      </c>
      <c r="J217" s="369" t="s">
        <v>367</v>
      </c>
      <c r="K217" s="375" t="s">
        <v>296</v>
      </c>
      <c r="L217" s="270" t="s">
        <v>299</v>
      </c>
      <c r="M217" s="290" t="s">
        <v>1877</v>
      </c>
      <c r="N217" s="290" t="s">
        <v>118</v>
      </c>
      <c r="O217" s="10"/>
      <c r="P217" s="10"/>
    </row>
    <row r="218" spans="1:16" ht="12.75" customHeight="1">
      <c r="A218">
        <f t="shared" si="3"/>
        <v>217</v>
      </c>
      <c r="B218" t="s">
        <v>2377</v>
      </c>
      <c r="C218">
        <v>3</v>
      </c>
      <c r="D218">
        <v>279</v>
      </c>
      <c r="E218" s="2" t="str">
        <f ca="1">VLOOKUP( Aop!$A218, Aop!$A$2:$P$456, ID_Jezik +10, 1)</f>
        <v>685, 585 neto prikaz</v>
      </c>
      <c r="F218" t="str">
        <f ca="1">REPT( "  ", Aop!$C218) &amp; VLOOKUP( Aop!$A218, Aop!$A$2:$P$456, ID_Jezik + 6, 1)</f>
        <v xml:space="preserve">      1.5.  Neto dobici od usklađivanja vrijednosti zaliha materijala i robe </v>
      </c>
      <c r="G218" s="285" t="s">
        <v>1387</v>
      </c>
      <c r="H218" s="283" t="s">
        <v>3030</v>
      </c>
      <c r="I218" s="292" t="s">
        <v>161</v>
      </c>
      <c r="J218" s="369" t="s">
        <v>368</v>
      </c>
      <c r="K218" s="375" t="s">
        <v>297</v>
      </c>
      <c r="L218" s="270" t="s">
        <v>298</v>
      </c>
      <c r="M218" s="290" t="s">
        <v>1878</v>
      </c>
      <c r="N218" s="290" t="s">
        <v>119</v>
      </c>
      <c r="O218" s="10"/>
      <c r="P218" s="10">
        <v>1</v>
      </c>
    </row>
    <row r="219" spans="1:16" ht="12.75" customHeight="1">
      <c r="A219">
        <f t="shared" si="3"/>
        <v>218</v>
      </c>
      <c r="B219" t="s">
        <v>2377</v>
      </c>
      <c r="C219">
        <v>3</v>
      </c>
      <c r="D219">
        <v>280</v>
      </c>
      <c r="E219" s="2" t="str">
        <f ca="1">VLOOKUP( Aop!$A219, Aop!$A$2:$P$456, ID_Jezik +10, 1)</f>
        <v>688, dio 689, 588, dio 589neto prikaz</v>
      </c>
      <c r="F219" t="str">
        <f ca="1">REPT( "  ", Aop!$C219) &amp; VLOOKUP( Aop!$A219, Aop!$A$2:$P$456, ID_Jezik + 6, 1)</f>
        <v xml:space="preserve">      1.6.  Neto dobici od usklađivanja vrijednost stalnih sredstava namijenjenih prodaji, sredstava poslovanja koje se obustavlja i ostalih nefinansijskih sredstava</v>
      </c>
      <c r="G219" s="285" t="s">
        <v>1388</v>
      </c>
      <c r="H219" s="283" t="s">
        <v>3026</v>
      </c>
      <c r="I219" s="292" t="s">
        <v>162</v>
      </c>
      <c r="J219" s="369" t="s">
        <v>1113</v>
      </c>
      <c r="K219" s="375" t="s">
        <v>2783</v>
      </c>
      <c r="L219" s="270" t="s">
        <v>1041</v>
      </c>
      <c r="M219" s="290" t="s">
        <v>1041</v>
      </c>
      <c r="N219" s="290" t="s">
        <v>120</v>
      </c>
      <c r="O219" s="10"/>
      <c r="P219" s="10"/>
    </row>
    <row r="220" spans="1:16" ht="12.75" customHeight="1">
      <c r="A220">
        <f t="shared" si="3"/>
        <v>219</v>
      </c>
      <c r="B220" t="s">
        <v>2377</v>
      </c>
      <c r="C220">
        <v>2</v>
      </c>
      <c r="D220">
        <v>281</v>
      </c>
      <c r="E220" s="2" t="str">
        <f ca="1">VLOOKUP( Aop!$A220, Aop!$A$2:$P$456, ID_Jezik +10, 1)</f>
        <v>dio 68</v>
      </c>
      <c r="F220" t="str">
        <f ca="1">REPT( "  ", Aop!$C220) &amp; VLOOKUP( Aop!$A220, Aop!$A$2:$P$456, ID_Jezik + 6, 1)</f>
        <v xml:space="preserve">    2. Neto dobici od usklađivanja vrijednosti finansijskih sredstava (282 do 285)</v>
      </c>
      <c r="G220" s="285" t="s">
        <v>3054</v>
      </c>
      <c r="H220" s="283" t="s">
        <v>3025</v>
      </c>
      <c r="I220" s="292" t="s">
        <v>1826</v>
      </c>
      <c r="J220" s="369" t="s">
        <v>1114</v>
      </c>
      <c r="K220" s="375" t="s">
        <v>2781</v>
      </c>
      <c r="L220" s="270" t="s">
        <v>1039</v>
      </c>
      <c r="M220" s="290" t="s">
        <v>1854</v>
      </c>
      <c r="N220" s="290" t="s">
        <v>114</v>
      </c>
      <c r="O220" s="10"/>
      <c r="P220" s="10"/>
    </row>
    <row r="221" spans="1:16" ht="12.75" customHeight="1">
      <c r="A221">
        <f t="shared" si="3"/>
        <v>220</v>
      </c>
      <c r="B221" t="s">
        <v>2377</v>
      </c>
      <c r="C221">
        <v>3</v>
      </c>
      <c r="D221">
        <v>282</v>
      </c>
      <c r="E221" s="2" t="str">
        <f ca="1">VLOOKUP( Aop!$A221, Aop!$A$2:$P$456, ID_Jezik +10, 1)</f>
        <v>684, 584 neto prikaz</v>
      </c>
      <c r="F221" t="str">
        <f ca="1">REPT( "  ", Aop!$C221) &amp; VLOOKUP( Aop!$A221, Aop!$A$2:$P$456, ID_Jezik + 6, 1)</f>
        <v xml:space="preserve">      2.1  Neto dobici od usklađivanja vrijednosti dugoročnih finansijskih sredstava </v>
      </c>
      <c r="G221" s="285" t="s">
        <v>1389</v>
      </c>
      <c r="H221" s="283" t="s">
        <v>3027</v>
      </c>
      <c r="I221" s="292" t="s">
        <v>1827</v>
      </c>
      <c r="J221" s="369" t="s">
        <v>1115</v>
      </c>
      <c r="K221" s="375" t="s">
        <v>1153</v>
      </c>
      <c r="L221" s="270" t="s">
        <v>1151</v>
      </c>
      <c r="M221" s="290" t="s">
        <v>1879</v>
      </c>
      <c r="N221" s="290" t="s">
        <v>121</v>
      </c>
      <c r="O221" s="10"/>
      <c r="P221" s="10"/>
    </row>
    <row r="222" spans="1:16" ht="12.75" customHeight="1">
      <c r="A222">
        <f t="shared" si="3"/>
        <v>221</v>
      </c>
      <c r="B222" t="s">
        <v>2377</v>
      </c>
      <c r="C222">
        <v>3</v>
      </c>
      <c r="D222">
        <v>283</v>
      </c>
      <c r="E222" s="2" t="str">
        <f ca="1">VLOOKUP( Aop!$A222, Aop!$A$2:$P$456, ID_Jezik +10, 1)</f>
        <v>686, 585 neto prikaz</v>
      </c>
      <c r="F222" t="str">
        <f ca="1">REPT( "  ", Aop!$C222) &amp; VLOOKUP( Aop!$A222, Aop!$A$2:$P$456, ID_Jezik + 6, 1)</f>
        <v xml:space="preserve">      2.2  Neto dobici od usklađivanja vrijednosti kratkoročnih finansijskih sredstava (osim potraživanja od kupaca)</v>
      </c>
      <c r="G222" s="285" t="s">
        <v>1392</v>
      </c>
      <c r="H222" s="283" t="s">
        <v>3028</v>
      </c>
      <c r="I222" s="292" t="s">
        <v>1828</v>
      </c>
      <c r="J222" s="369" t="s">
        <v>1116</v>
      </c>
      <c r="K222" s="375" t="s">
        <v>1154</v>
      </c>
      <c r="L222" s="270" t="s">
        <v>1152</v>
      </c>
      <c r="M222" s="290" t="s">
        <v>1880</v>
      </c>
      <c r="N222" s="290" t="s">
        <v>122</v>
      </c>
      <c r="O222" s="10"/>
      <c r="P222" s="10"/>
    </row>
    <row r="223" spans="1:16" ht="12.75" customHeight="1">
      <c r="A223">
        <f t="shared" si="3"/>
        <v>222</v>
      </c>
      <c r="B223" t="s">
        <v>2377</v>
      </c>
      <c r="C223">
        <v>3</v>
      </c>
      <c r="D223">
        <v>284</v>
      </c>
      <c r="E223" s="2" t="str">
        <f ca="1">VLOOKUP( Aop!$A223, Aop!$A$2:$P$456, ID_Jezik +10, 1)</f>
        <v>687, 587 neto prikaz</v>
      </c>
      <c r="F223" t="str">
        <f ca="1">REPT( "  ", Aop!$C223) &amp; VLOOKUP( Aop!$A223, Aop!$A$2:$P$456, ID_Jezik + 6, 1)</f>
        <v xml:space="preserve">      2.3  Neto dobici od umanjenja ranije priznatih kreditnih gubitaka usljed obezvređenja potraživanja od kupaca </v>
      </c>
      <c r="G223" s="285" t="s">
        <v>1390</v>
      </c>
      <c r="H223" s="283" t="s">
        <v>3024</v>
      </c>
      <c r="I223" s="294" t="s">
        <v>1829</v>
      </c>
      <c r="J223" s="369" t="s">
        <v>1117</v>
      </c>
      <c r="K223" s="375" t="s">
        <v>2784</v>
      </c>
      <c r="L223" s="270" t="s">
        <v>1042</v>
      </c>
      <c r="M223" s="290" t="s">
        <v>1881</v>
      </c>
      <c r="N223" s="290" t="s">
        <v>123</v>
      </c>
      <c r="O223" s="10">
        <v>1</v>
      </c>
      <c r="P223" s="10"/>
    </row>
    <row r="224" spans="1:16" ht="12.75" customHeight="1">
      <c r="A224">
        <f t="shared" si="3"/>
        <v>223</v>
      </c>
      <c r="B224" t="s">
        <v>2377</v>
      </c>
      <c r="C224">
        <v>3</v>
      </c>
      <c r="D224">
        <v>285</v>
      </c>
      <c r="E224" s="2" t="str">
        <f ca="1">VLOOKUP( Aop!$A224, Aop!$A$2:$P$456, ID_Jezik +10, 1)</f>
        <v>dio 689, dio 589neto prikaz</v>
      </c>
      <c r="F224" t="str">
        <f ca="1">REPT( "  ", Aop!$C224) &amp; VLOOKUP( Aop!$A224, Aop!$A$2:$P$456, ID_Jezik + 6, 1)</f>
        <v xml:space="preserve">      2.4  Neto dobici od usklađivanja vrijednosti ostalih finansijskih sredstava</v>
      </c>
      <c r="G224" s="285" t="s">
        <v>1391</v>
      </c>
      <c r="H224" s="283" t="s">
        <v>3029</v>
      </c>
      <c r="I224" s="292" t="s">
        <v>1830</v>
      </c>
      <c r="J224" s="369" t="s">
        <v>1118</v>
      </c>
      <c r="K224" s="375" t="s">
        <v>2785</v>
      </c>
      <c r="L224" s="270" t="s">
        <v>1150</v>
      </c>
      <c r="M224" s="290" t="s">
        <v>1882</v>
      </c>
      <c r="N224" s="290" t="s">
        <v>124</v>
      </c>
      <c r="O224" s="10"/>
      <c r="P224" s="10"/>
    </row>
    <row r="225" spans="1:16" ht="12.75" customHeight="1">
      <c r="A225">
        <f t="shared" si="3"/>
        <v>224</v>
      </c>
      <c r="B225" t="s">
        <v>2377</v>
      </c>
      <c r="C225">
        <v>1</v>
      </c>
      <c r="D225">
        <v>286</v>
      </c>
      <c r="E225" s="2" t="str">
        <f ca="1">VLOOKUP( Aop!$A225, Aop!$A$2:$P$456, ID_Jezik +10, 1)</f>
        <v>58</v>
      </c>
      <c r="F225" t="str">
        <f ca="1">REPT( "  ", Aop!$C225) &amp; VLOOKUP( Aop!$A225, Aop!$A$2:$P$456, ID_Jezik + 6, 1)</f>
        <v xml:space="preserve">  II  RASHODI OD USKLAĐIVANJA VRIJEDNOSTI IMOVINE (287 + 294)</v>
      </c>
      <c r="G225" s="276" t="s">
        <v>1371</v>
      </c>
      <c r="H225" s="283" t="s">
        <v>885</v>
      </c>
      <c r="I225" s="292" t="s">
        <v>150</v>
      </c>
      <c r="J225" s="369" t="s">
        <v>718</v>
      </c>
      <c r="K225" s="375" t="s">
        <v>2786</v>
      </c>
      <c r="L225" s="270">
        <v>58</v>
      </c>
      <c r="M225" s="290">
        <v>58</v>
      </c>
      <c r="N225" s="290">
        <v>58</v>
      </c>
      <c r="O225" s="10"/>
      <c r="P225" s="10"/>
    </row>
    <row r="226" spans="1:16" ht="12.75" customHeight="1">
      <c r="A226">
        <f t="shared" si="3"/>
        <v>225</v>
      </c>
      <c r="B226" t="s">
        <v>2377</v>
      </c>
      <c r="C226">
        <v>2</v>
      </c>
      <c r="D226">
        <v>287</v>
      </c>
      <c r="E226" s="2">
        <f ca="1">VLOOKUP( Aop!$A226, Aop!$A$2:$P$456, ID_Jezik +10, 1)</f>
        <v>0</v>
      </c>
      <c r="F226" t="str">
        <f ca="1">REPT( "  ", Aop!$C226) &amp; VLOOKUP( Aop!$A226, Aop!$A$2:$P$456, ID_Jezik + 6, 1)</f>
        <v xml:space="preserve">    1.  Rashodi od usklađivanja vrijednosti imovine (osim finansijske) (288 do 293)</v>
      </c>
      <c r="G226" s="285" t="s">
        <v>1393</v>
      </c>
      <c r="H226" s="283" t="s">
        <v>3012</v>
      </c>
      <c r="I226" s="292" t="s">
        <v>1831</v>
      </c>
      <c r="J226" s="369" t="s">
        <v>1119</v>
      </c>
      <c r="K226" s="375"/>
      <c r="L226" s="270"/>
      <c r="M226" s="290"/>
      <c r="N226" s="290"/>
      <c r="O226" s="10"/>
      <c r="P226" s="10"/>
    </row>
    <row r="227" spans="1:16" ht="12.75" customHeight="1">
      <c r="A227">
        <f t="shared" si="3"/>
        <v>226</v>
      </c>
      <c r="B227" t="s">
        <v>2377</v>
      </c>
      <c r="C227">
        <v>3</v>
      </c>
      <c r="D227">
        <v>288</v>
      </c>
      <c r="E227" s="2" t="str">
        <f ca="1">VLOOKUP( Aop!$A227, Aop!$A$2:$P$456, ID_Jezik +10, 1)</f>
        <v>580, 680</v>
      </c>
      <c r="F227" t="str">
        <f ca="1">REPT( "  ", Aop!$C227) &amp; VLOOKUP( Aop!$A227, Aop!$A$2:$P$456, ID_Jezik + 6, 1)</f>
        <v xml:space="preserve">      1.1. Neto gubici po osnovu obezvređenja nematerijalnih sredstava</v>
      </c>
      <c r="G227" s="285" t="s">
        <v>1394</v>
      </c>
      <c r="H227" s="283" t="s">
        <v>3013</v>
      </c>
      <c r="I227" s="292" t="s">
        <v>153</v>
      </c>
      <c r="J227" s="369" t="s">
        <v>1120</v>
      </c>
      <c r="K227" s="375" t="s">
        <v>1043</v>
      </c>
      <c r="L227" s="270" t="s">
        <v>1043</v>
      </c>
      <c r="M227" s="290" t="s">
        <v>1043</v>
      </c>
      <c r="N227" s="290" t="s">
        <v>125</v>
      </c>
      <c r="O227" s="10"/>
      <c r="P227" s="10"/>
    </row>
    <row r="228" spans="1:16" ht="12.75" customHeight="1">
      <c r="A228">
        <f t="shared" si="3"/>
        <v>227</v>
      </c>
      <c r="B228" t="s">
        <v>2377</v>
      </c>
      <c r="C228">
        <v>3</v>
      </c>
      <c r="D228">
        <v>289</v>
      </c>
      <c r="E228" s="2" t="str">
        <f ca="1">VLOOKUP( Aop!$A228, Aop!$A$2:$P$456, ID_Jezik +10, 1)</f>
        <v>581, 681 neto prikaz</v>
      </c>
      <c r="F228" t="str">
        <f ca="1">REPT( "  ", Aop!$C228) &amp; VLOOKUP( Aop!$A228, Aop!$A$2:$P$456, ID_Jezik + 6, 1)</f>
        <v xml:space="preserve">      1.2. Neto gubici po osnovu obezvređenja nekretnina, postrojenja i opreme</v>
      </c>
      <c r="G228" s="285" t="s">
        <v>1395</v>
      </c>
      <c r="H228" s="283" t="s">
        <v>3014</v>
      </c>
      <c r="I228" s="292" t="s">
        <v>154</v>
      </c>
      <c r="J228" s="369" t="s">
        <v>1121</v>
      </c>
      <c r="K228" s="375" t="s">
        <v>1155</v>
      </c>
      <c r="L228" s="270" t="s">
        <v>1158</v>
      </c>
      <c r="M228" s="290" t="s">
        <v>1883</v>
      </c>
      <c r="N228" s="290" t="s">
        <v>126</v>
      </c>
      <c r="O228" s="10"/>
      <c r="P228" s="10"/>
    </row>
    <row r="229" spans="1:16" ht="12.75" customHeight="1">
      <c r="A229">
        <f t="shared" si="3"/>
        <v>228</v>
      </c>
      <c r="B229" t="s">
        <v>2377</v>
      </c>
      <c r="C229">
        <v>3</v>
      </c>
      <c r="D229">
        <v>290</v>
      </c>
      <c r="E229" s="2" t="str">
        <f ca="1">VLOOKUP( Aop!$A229, Aop!$A$2:$P$456, ID_Jezik +10, 1)</f>
        <v>582, 682</v>
      </c>
      <c r="F229" t="str">
        <f ca="1">REPT( "  ", Aop!$C229) &amp; VLOOKUP( Aop!$A229, Aop!$A$2:$P$456, ID_Jezik + 6, 1)</f>
        <v xml:space="preserve">      1.3. Neto gubici po osnovu obezvređenja investicionih nekretnina koje se vrednuju po nabavnoj vrijednosti</v>
      </c>
      <c r="G229" s="285" t="s">
        <v>1396</v>
      </c>
      <c r="H229" s="283" t="s">
        <v>3015</v>
      </c>
      <c r="I229" s="292" t="s">
        <v>155</v>
      </c>
      <c r="J229" s="369" t="s">
        <v>1122</v>
      </c>
      <c r="K229" s="375" t="s">
        <v>1044</v>
      </c>
      <c r="L229" s="270" t="s">
        <v>1044</v>
      </c>
      <c r="M229" s="290" t="s">
        <v>1044</v>
      </c>
      <c r="N229" s="290" t="s">
        <v>127</v>
      </c>
      <c r="O229" s="10"/>
      <c r="P229" s="10"/>
    </row>
    <row r="230" spans="1:16" ht="12.75" customHeight="1">
      <c r="A230">
        <f t="shared" si="3"/>
        <v>229</v>
      </c>
      <c r="B230" t="s">
        <v>2377</v>
      </c>
      <c r="C230">
        <v>3</v>
      </c>
      <c r="D230">
        <v>291</v>
      </c>
      <c r="E230" s="2" t="str">
        <f ca="1">VLOOKUP( Aop!$A230, Aop!$A$2:$P$456, ID_Jezik +10, 1)</f>
        <v>583, 683</v>
      </c>
      <c r="F230" t="str">
        <f ca="1">REPT( "  ", Aop!$C230) &amp; VLOOKUP( Aop!$A230, Aop!$A$2:$P$456, ID_Jezik + 6, 1)</f>
        <v xml:space="preserve">      1.4. Neto gubici po osnovu obezvređenja bioloških sredstva koje se vrednuju po nabavnoj vrijednosti</v>
      </c>
      <c r="G230" s="285" t="s">
        <v>1397</v>
      </c>
      <c r="H230" s="283" t="s">
        <v>3016</v>
      </c>
      <c r="I230" s="292" t="s">
        <v>151</v>
      </c>
      <c r="J230" s="369" t="s">
        <v>1123</v>
      </c>
      <c r="K230" s="375" t="s">
        <v>1045</v>
      </c>
      <c r="L230" s="270" t="s">
        <v>1045</v>
      </c>
      <c r="M230" s="290" t="s">
        <v>1045</v>
      </c>
      <c r="N230" s="290" t="s">
        <v>128</v>
      </c>
      <c r="O230" s="10"/>
      <c r="P230" s="10"/>
    </row>
    <row r="231" spans="1:16" ht="12.75" customHeight="1">
      <c r="A231">
        <f t="shared" si="3"/>
        <v>230</v>
      </c>
      <c r="B231" t="s">
        <v>2377</v>
      </c>
      <c r="C231">
        <v>3</v>
      </c>
      <c r="D231">
        <v>292</v>
      </c>
      <c r="E231" s="2" t="str">
        <f ca="1">VLOOKUP( Aop!$A231, Aop!$A$2:$P$456, ID_Jezik +10, 1)</f>
        <v>585, 685 neto prikaz</v>
      </c>
      <c r="F231" t="str">
        <f ca="1">REPT( "  ", Aop!$C231) &amp; VLOOKUP( Aop!$A231, Aop!$A$2:$P$456, ID_Jezik + 6, 1)</f>
        <v xml:space="preserve">      1.5. Neto gubici od usklađivanja vrijednosti zaliha materijala i robe </v>
      </c>
      <c r="G231" s="285" t="s">
        <v>1398</v>
      </c>
      <c r="H231" s="283" t="s">
        <v>3017</v>
      </c>
      <c r="I231" s="292" t="s">
        <v>152</v>
      </c>
      <c r="J231" s="369" t="s">
        <v>1124</v>
      </c>
      <c r="K231" s="375" t="s">
        <v>1156</v>
      </c>
      <c r="L231" s="270" t="s">
        <v>1157</v>
      </c>
      <c r="M231" s="290" t="s">
        <v>1884</v>
      </c>
      <c r="N231" s="290" t="s">
        <v>129</v>
      </c>
      <c r="O231" s="10"/>
      <c r="P231" s="10"/>
    </row>
    <row r="232" spans="1:16" ht="12.75" customHeight="1">
      <c r="A232">
        <f t="shared" si="3"/>
        <v>231</v>
      </c>
      <c r="B232" t="s">
        <v>2377</v>
      </c>
      <c r="C232">
        <v>3</v>
      </c>
      <c r="D232">
        <v>293</v>
      </c>
      <c r="E232" s="2" t="str">
        <f ca="1">VLOOKUP( Aop!$A232, Aop!$A$2:$P$456, ID_Jezik +10, 1)</f>
        <v>588, dio 589, 688, dio 689</v>
      </c>
      <c r="F232" t="str">
        <f ca="1">REPT( "  ", Aop!$C232) &amp; VLOOKUP( Aop!$A232, Aop!$A$2:$P$456, ID_Jezik + 6, 1)</f>
        <v xml:space="preserve">      1.6. Neto gubici od usklađivanja vrijednosti stalnih sredstava namijenjenih prodaji, sredstava poslovanja koje se obustavlja i ostalih nefinansijskih sredstava</v>
      </c>
      <c r="G232" s="285" t="s">
        <v>738</v>
      </c>
      <c r="H232" s="283" t="s">
        <v>3018</v>
      </c>
      <c r="I232" s="292" t="s">
        <v>156</v>
      </c>
      <c r="J232" s="369" t="s">
        <v>1125</v>
      </c>
      <c r="K232" s="375" t="s">
        <v>2787</v>
      </c>
      <c r="L232" s="270" t="s">
        <v>1046</v>
      </c>
      <c r="M232" s="290" t="s">
        <v>1885</v>
      </c>
      <c r="N232" s="290" t="s">
        <v>130</v>
      </c>
      <c r="O232" s="10"/>
      <c r="P232" s="10"/>
    </row>
    <row r="233" spans="1:16" ht="12.75" customHeight="1">
      <c r="A233">
        <f t="shared" si="3"/>
        <v>232</v>
      </c>
      <c r="B233" t="s">
        <v>2377</v>
      </c>
      <c r="C233">
        <v>2</v>
      </c>
      <c r="D233">
        <v>294</v>
      </c>
      <c r="E233" s="2">
        <f ca="1">VLOOKUP( Aop!$A233, Aop!$A$2:$P$456, ID_Jezik +10, 1)</f>
        <v>0</v>
      </c>
      <c r="F233" t="str">
        <f ca="1">REPT( "  ", Aop!$C233) &amp; VLOOKUP( Aop!$A233, Aop!$A$2:$P$456, ID_Jezik + 6, 1)</f>
        <v xml:space="preserve">    2.  Gubici od usklađivanja vrijednosti finansijskih sredstava (295 do 298)</v>
      </c>
      <c r="G233" s="285" t="s">
        <v>1399</v>
      </c>
      <c r="H233" s="283" t="s">
        <v>3019</v>
      </c>
      <c r="I233" s="292" t="s">
        <v>1832</v>
      </c>
      <c r="J233" s="369" t="s">
        <v>1126</v>
      </c>
      <c r="K233" s="375"/>
      <c r="L233" s="270"/>
      <c r="M233" s="290"/>
      <c r="N233" s="290"/>
      <c r="O233" s="10">
        <v>1</v>
      </c>
      <c r="P233" s="10"/>
    </row>
    <row r="234" spans="1:16" ht="12.75" customHeight="1">
      <c r="A234">
        <f t="shared" si="3"/>
        <v>233</v>
      </c>
      <c r="B234" t="s">
        <v>2377</v>
      </c>
      <c r="C234">
        <v>3</v>
      </c>
      <c r="D234">
        <v>295</v>
      </c>
      <c r="E234" s="2" t="str">
        <f ca="1">VLOOKUP( Aop!$A234, Aop!$A$2:$P$456, ID_Jezik +10, 1)</f>
        <v>584, 684</v>
      </c>
      <c r="F234" t="str">
        <f ca="1">REPT( "  ", Aop!$C234) &amp; VLOOKUP( Aop!$A234, Aop!$A$2:$P$456, ID_Jezik + 6, 1)</f>
        <v xml:space="preserve">      2.1 Neto gubici od usklađivanja vrijednosti dugoročnih finansijskih sredstava</v>
      </c>
      <c r="G234" s="285" t="s">
        <v>1400</v>
      </c>
      <c r="H234" s="283" t="s">
        <v>3020</v>
      </c>
      <c r="I234" s="292" t="s">
        <v>1833</v>
      </c>
      <c r="J234" s="369" t="s">
        <v>1127</v>
      </c>
      <c r="K234" s="375" t="s">
        <v>1047</v>
      </c>
      <c r="L234" s="270" t="s">
        <v>1047</v>
      </c>
      <c r="M234" s="290" t="s">
        <v>1047</v>
      </c>
      <c r="N234" s="290" t="s">
        <v>131</v>
      </c>
      <c r="O234" s="10">
        <v>1</v>
      </c>
      <c r="P234" s="10"/>
    </row>
    <row r="235" spans="1:16" ht="12.75" customHeight="1">
      <c r="A235">
        <f t="shared" si="3"/>
        <v>234</v>
      </c>
      <c r="B235" t="s">
        <v>2377</v>
      </c>
      <c r="C235">
        <v>3</v>
      </c>
      <c r="D235">
        <v>296</v>
      </c>
      <c r="E235" s="2" t="str">
        <f ca="1">VLOOKUP( Aop!$A235, Aop!$A$2:$P$456, ID_Jezik +10, 1)</f>
        <v>586, 686</v>
      </c>
      <c r="F235" t="str">
        <f ca="1">REPT( "  ", Aop!$C235) &amp; VLOOKUP( Aop!$A235, Aop!$A$2:$P$456, ID_Jezik + 6, 1)</f>
        <v xml:space="preserve">      2.2  Neto gubici od usklađivanja vrijednosti kratkoročnih finansijskih sredstava (osim potraživanja od kupaca)</v>
      </c>
      <c r="G235" s="285" t="s">
        <v>1401</v>
      </c>
      <c r="H235" s="283" t="s">
        <v>3023</v>
      </c>
      <c r="I235" s="292" t="s">
        <v>1834</v>
      </c>
      <c r="J235" s="369" t="s">
        <v>1128</v>
      </c>
      <c r="K235" s="375" t="s">
        <v>1048</v>
      </c>
      <c r="L235" s="270" t="s">
        <v>1048</v>
      </c>
      <c r="M235" s="290" t="s">
        <v>1048</v>
      </c>
      <c r="N235" s="290" t="s">
        <v>132</v>
      </c>
      <c r="O235" s="10">
        <v>1</v>
      </c>
      <c r="P235" s="10">
        <v>1</v>
      </c>
    </row>
    <row r="236" spans="1:16" ht="12.75" customHeight="1">
      <c r="A236">
        <f t="shared" si="3"/>
        <v>235</v>
      </c>
      <c r="B236" t="s">
        <v>2377</v>
      </c>
      <c r="C236">
        <v>3</v>
      </c>
      <c r="D236">
        <v>297</v>
      </c>
      <c r="E236" s="2" t="str">
        <f ca="1">VLOOKUP( Aop!$A236, Aop!$A$2:$P$456, ID_Jezik +10, 1)</f>
        <v>587, 687 neto prikaz</v>
      </c>
      <c r="F236" t="str">
        <f ca="1">REPT( "  ", Aop!$C236) &amp; VLOOKUP( Aop!$A236, Aop!$A$2:$P$456, ID_Jezik + 6, 1)</f>
        <v xml:space="preserve">      2.3 Neto gubici od usklađivanja vrijednosti potraživanja od kupaca</v>
      </c>
      <c r="G236" s="285" t="s">
        <v>1402</v>
      </c>
      <c r="H236" s="283" t="s">
        <v>3021</v>
      </c>
      <c r="I236" s="292" t="s">
        <v>1835</v>
      </c>
      <c r="J236" s="369" t="s">
        <v>1129</v>
      </c>
      <c r="K236" s="375" t="s">
        <v>2788</v>
      </c>
      <c r="L236" s="270" t="s">
        <v>1049</v>
      </c>
      <c r="M236" s="290" t="s">
        <v>1886</v>
      </c>
      <c r="N236" s="290" t="s">
        <v>133</v>
      </c>
      <c r="O236" s="10">
        <v>1</v>
      </c>
      <c r="P236" s="10">
        <v>1</v>
      </c>
    </row>
    <row r="237" spans="1:16" ht="12.75" customHeight="1">
      <c r="A237">
        <f t="shared" si="3"/>
        <v>236</v>
      </c>
      <c r="B237" t="s">
        <v>2377</v>
      </c>
      <c r="C237">
        <v>3</v>
      </c>
      <c r="D237">
        <v>298</v>
      </c>
      <c r="E237" s="2" t="str">
        <f ca="1">VLOOKUP( Aop!$A237, Aop!$A$2:$P$456, ID_Jezik +10, 1)</f>
        <v>dio 589, dio 689neto prikaz</v>
      </c>
      <c r="F237" t="str">
        <f ca="1">REPT( "  ", Aop!$C237) &amp; VLOOKUP( Aop!$A237, Aop!$A$2:$P$456, ID_Jezik + 6, 1)</f>
        <v xml:space="preserve">      2.4  Neto gubici od usklađivanja vrijednosti ostalih finansijskih sredstava</v>
      </c>
      <c r="G237" s="285" t="s">
        <v>1403</v>
      </c>
      <c r="H237" s="283" t="s">
        <v>3022</v>
      </c>
      <c r="I237" s="292" t="s">
        <v>1836</v>
      </c>
      <c r="J237" s="369" t="s">
        <v>1130</v>
      </c>
      <c r="K237" s="375" t="s">
        <v>2789</v>
      </c>
      <c r="L237" s="270" t="s">
        <v>1050</v>
      </c>
      <c r="M237" s="290" t="s">
        <v>1887</v>
      </c>
      <c r="N237" s="290" t="s">
        <v>134</v>
      </c>
      <c r="O237" s="10">
        <v>1</v>
      </c>
      <c r="P237" s="10"/>
    </row>
    <row r="238" spans="1:16" ht="12.75" customHeight="1">
      <c r="A238">
        <f t="shared" si="3"/>
        <v>237</v>
      </c>
      <c r="B238" t="s">
        <v>2377</v>
      </c>
      <c r="C238">
        <v>1</v>
      </c>
      <c r="D238">
        <v>299</v>
      </c>
      <c r="E238" s="2">
        <f ca="1">VLOOKUP( Aop!$A238, Aop!$A$2:$P$456, ID_Jezik +10, 1)</f>
        <v>0</v>
      </c>
      <c r="F238" t="str">
        <f ca="1">REPT( "  ", Aop!$C238) &amp; VLOOKUP( Aop!$A238, Aop!$A$2:$P$456, ID_Jezik + 6, 1)</f>
        <v xml:space="preserve">  J. DOBITAK PO OSNOVU USKLAĐIVANJA VRIJEDNOSTI IMOVINE (273 – 286) </v>
      </c>
      <c r="G238" s="288" t="s">
        <v>1373</v>
      </c>
      <c r="H238" s="282" t="s">
        <v>800</v>
      </c>
      <c r="I238" s="292" t="s">
        <v>1837</v>
      </c>
      <c r="J238" s="369" t="s">
        <v>719</v>
      </c>
      <c r="K238" s="375"/>
      <c r="L238" s="270"/>
      <c r="M238" s="290"/>
      <c r="N238" s="290"/>
      <c r="O238" s="10"/>
      <c r="P238" s="10"/>
    </row>
    <row r="239" spans="1:16" ht="12.75" customHeight="1">
      <c r="A239">
        <f t="shared" si="3"/>
        <v>238</v>
      </c>
      <c r="B239" t="s">
        <v>2377</v>
      </c>
      <c r="C239">
        <v>1</v>
      </c>
      <c r="D239">
        <v>300</v>
      </c>
      <c r="E239" s="2">
        <f ca="1">VLOOKUP( Aop!$A239, Aop!$A$2:$P$456, ID_Jezik +10, 1)</f>
        <v>0</v>
      </c>
      <c r="F239" t="str">
        <f ca="1">REPT( "  ", Aop!$C239) &amp; VLOOKUP( Aop!$A239, Aop!$A$2:$P$456, ID_Jezik + 6, 1)</f>
        <v xml:space="preserve">  K. GUBITAK PO OSNOVU USKLAĐIVANJA VRIJEDNOSTI IMOVINE (286 – 273)</v>
      </c>
      <c r="G239" s="288" t="s">
        <v>1372</v>
      </c>
      <c r="H239" s="282" t="s">
        <v>801</v>
      </c>
      <c r="I239" s="292" t="s">
        <v>1838</v>
      </c>
      <c r="J239" s="369" t="s">
        <v>720</v>
      </c>
      <c r="K239" s="375"/>
      <c r="L239" s="270"/>
      <c r="M239" s="290"/>
      <c r="N239" s="290"/>
      <c r="O239" s="10"/>
      <c r="P239" s="10"/>
    </row>
    <row r="240" spans="1:16" ht="12.75" customHeight="1">
      <c r="A240">
        <f t="shared" si="3"/>
        <v>239</v>
      </c>
      <c r="B240" t="s">
        <v>2377</v>
      </c>
      <c r="C240">
        <v>1</v>
      </c>
      <c r="D240">
        <v>301</v>
      </c>
      <c r="E240" s="2" t="str">
        <f ca="1">VLOOKUP( Aop!$A240, Aop!$A$2:$P$456, ID_Jezik +10, 1)</f>
        <v>690 i 691</v>
      </c>
      <c r="F240" t="str">
        <f ca="1">REPT( "  ", Aop!$C240) &amp; VLOOKUP( Aop!$A240, Aop!$A$2:$P$456, ID_Jezik + 6, 1)</f>
        <v xml:space="preserve">  L. Prihodi po osnovu promjene računovodstvenih politika i ispravke grešaka iz ranijih godina </v>
      </c>
      <c r="G240" s="285" t="s">
        <v>606</v>
      </c>
      <c r="H240" s="283" t="s">
        <v>607</v>
      </c>
      <c r="I240" s="292" t="s">
        <v>1839</v>
      </c>
      <c r="J240" s="369" t="s">
        <v>794</v>
      </c>
      <c r="K240" s="375" t="s">
        <v>2790</v>
      </c>
      <c r="L240" s="270" t="s">
        <v>1051</v>
      </c>
      <c r="M240" s="290" t="s">
        <v>1159</v>
      </c>
      <c r="N240" s="290" t="s">
        <v>1051</v>
      </c>
      <c r="O240" s="10">
        <v>1</v>
      </c>
      <c r="P240" s="10"/>
    </row>
    <row r="241" spans="1:16" s="354" customFormat="1" ht="12.75" customHeight="1">
      <c r="A241">
        <f t="shared" si="3"/>
        <v>240</v>
      </c>
      <c r="B241" t="s">
        <v>2377</v>
      </c>
      <c r="C241" s="3">
        <v>1</v>
      </c>
      <c r="D241">
        <v>302</v>
      </c>
      <c r="E241" s="10" t="str">
        <f ca="1">VLOOKUP( Aop!$A241, Aop!$A$2:$P$456, ID_Jezik +10, 1)</f>
        <v>590 i 591</v>
      </c>
      <c r="F241" t="str">
        <f ca="1">REPT( "  ", Aop!$C241) &amp; VLOOKUP( Aop!$A241, Aop!$A$2:$P$456, ID_Jezik + 6, 1)</f>
        <v xml:space="preserve">  LJ. Rashodi po osnovu promjene računovodstvenih politika i ispravke grešaka iz ranijih godina</v>
      </c>
      <c r="G241" s="285" t="s">
        <v>16</v>
      </c>
      <c r="H241" s="283" t="s">
        <v>608</v>
      </c>
      <c r="I241" s="292" t="s">
        <v>1840</v>
      </c>
      <c r="J241" s="369" t="s">
        <v>721</v>
      </c>
      <c r="K241" s="375" t="s">
        <v>2791</v>
      </c>
      <c r="L241" s="270" t="s">
        <v>1052</v>
      </c>
      <c r="M241" s="290" t="s">
        <v>1160</v>
      </c>
      <c r="N241" s="290" t="s">
        <v>1052</v>
      </c>
      <c r="O241" s="10"/>
      <c r="P241" s="10"/>
    </row>
    <row r="242" spans="1:16" s="354" customFormat="1" ht="12.75" customHeight="1">
      <c r="A242">
        <f t="shared" ref="A242:A267" si="4">ROW()-ROW($A$1)</f>
        <v>241</v>
      </c>
      <c r="B242" t="s">
        <v>2377</v>
      </c>
      <c r="C242">
        <v>0</v>
      </c>
      <c r="D242">
        <v>303</v>
      </c>
      <c r="E242" s="10">
        <f ca="1">VLOOKUP( Aop!$A242, Aop!$A$2:$P$456, ID_Jezik +10, 1)</f>
        <v>0</v>
      </c>
      <c r="F242" t="str">
        <f ca="1">REPT( "  ", Aop!$C242) &amp; VLOOKUP( Aop!$A242, Aop!$A$2:$P$456, ID_Jezik + 6, 1)</f>
        <v>Udio u dobiti pridruženog društva i zajedničkog poduhvata primjenom metode udjela</v>
      </c>
      <c r="G242" s="285" t="s">
        <v>1077</v>
      </c>
      <c r="H242" s="283" t="s">
        <v>886</v>
      </c>
      <c r="I242" s="292" t="s">
        <v>1841</v>
      </c>
      <c r="J242" s="369" t="s">
        <v>722</v>
      </c>
      <c r="K242" s="375"/>
      <c r="L242" s="270"/>
      <c r="M242" s="290"/>
      <c r="N242" s="290"/>
      <c r="O242" s="10">
        <v>1</v>
      </c>
      <c r="P242" s="10"/>
    </row>
    <row r="243" spans="1:16" s="354" customFormat="1" ht="12.75" customHeight="1">
      <c r="A243">
        <f t="shared" si="4"/>
        <v>242</v>
      </c>
      <c r="B243" t="s">
        <v>2377</v>
      </c>
      <c r="C243">
        <v>0</v>
      </c>
      <c r="D243">
        <v>304</v>
      </c>
      <c r="E243" s="10">
        <f ca="1">VLOOKUP( Aop!$A243, Aop!$A$2:$P$456, ID_Jezik +10, 1)</f>
        <v>0</v>
      </c>
      <c r="F243" t="str">
        <f ca="1">REPT( "  ", Aop!$C243) &amp; VLOOKUP( Aop!$A243, Aop!$A$2:$P$456, ID_Jezik + 6, 1)</f>
        <v>Udio u gubitku pridruženog društva i zajedničkog poduhvata primjenom metode udjela</v>
      </c>
      <c r="G243" s="285" t="s">
        <v>1078</v>
      </c>
      <c r="H243" s="283" t="s">
        <v>887</v>
      </c>
      <c r="I243" s="292" t="s">
        <v>1842</v>
      </c>
      <c r="J243" s="369" t="s">
        <v>723</v>
      </c>
      <c r="K243" s="375"/>
      <c r="L243" s="270"/>
      <c r="M243" s="290"/>
      <c r="N243" s="290"/>
      <c r="O243" s="10">
        <v>1</v>
      </c>
      <c r="P243" s="10"/>
    </row>
    <row r="244" spans="1:16" s="354" customFormat="1" ht="12.75" customHeight="1">
      <c r="A244">
        <f t="shared" si="4"/>
        <v>243</v>
      </c>
      <c r="B244" t="s">
        <v>2377</v>
      </c>
      <c r="C244">
        <v>1</v>
      </c>
      <c r="D244">
        <v>305</v>
      </c>
      <c r="E244" s="10">
        <f ca="1">VLOOKUP( Aop!$A244, Aop!$A$2:$P$456, ID_Jezik +10, 1)</f>
        <v>0</v>
      </c>
      <c r="F244" t="str">
        <f ca="1">REPT( "  ", Aop!$C244) &amp; VLOOKUP( Aop!$A244, Aop!$A$2:$P$456, ID_Jezik + 6, 1)</f>
        <v xml:space="preserve">  UKUPNI PRIHODI (201+239+251+273+301+303)</v>
      </c>
      <c r="G244" s="276" t="s">
        <v>1079</v>
      </c>
      <c r="H244" s="283" t="s">
        <v>888</v>
      </c>
      <c r="I244" s="292" t="s">
        <v>1843</v>
      </c>
      <c r="J244" s="369" t="s">
        <v>724</v>
      </c>
      <c r="K244" s="375"/>
      <c r="L244" s="270"/>
      <c r="M244" s="290"/>
      <c r="N244" s="290"/>
      <c r="O244" s="10">
        <v>1</v>
      </c>
      <c r="P244" s="10"/>
    </row>
    <row r="245" spans="1:16" s="354" customFormat="1" ht="12.75" customHeight="1">
      <c r="A245">
        <f t="shared" si="4"/>
        <v>244</v>
      </c>
      <c r="B245" t="s">
        <v>2377</v>
      </c>
      <c r="C245">
        <v>1</v>
      </c>
      <c r="D245">
        <v>306</v>
      </c>
      <c r="E245" s="10">
        <f ca="1">VLOOKUP( Aop!$A245, Aop!$A$2:$P$456, ID_Jezik +10, 1)</f>
        <v>0</v>
      </c>
      <c r="F245" t="str">
        <f ca="1">REPT( "  ", Aop!$C245) &amp; VLOOKUP( Aop!$A245, Aop!$A$2:$P$456, ID_Jezik + 6, 1)</f>
        <v xml:space="preserve">  UKUPNI RASHODI (219+244+261+286+302+304)</v>
      </c>
      <c r="G245" s="276" t="s">
        <v>1080</v>
      </c>
      <c r="H245" s="283" t="s">
        <v>889</v>
      </c>
      <c r="I245" s="292" t="s">
        <v>1844</v>
      </c>
      <c r="J245" s="369" t="s">
        <v>725</v>
      </c>
      <c r="K245" s="375"/>
      <c r="L245" s="270"/>
      <c r="M245" s="290"/>
      <c r="N245" s="290"/>
      <c r="O245" s="10"/>
      <c r="P245" s="10"/>
    </row>
    <row r="246" spans="1:16" s="354" customFormat="1" ht="24" customHeight="1">
      <c r="A246">
        <f t="shared" si="4"/>
        <v>245</v>
      </c>
      <c r="B246" t="s">
        <v>2377</v>
      </c>
      <c r="C246">
        <v>1</v>
      </c>
      <c r="D246">
        <v>307</v>
      </c>
      <c r="E246" s="10">
        <f ca="1">VLOOKUP( Aop!$A246, Aop!$A$2:$P$456, ID_Jezik +10, 1)</f>
        <v>0</v>
      </c>
      <c r="F246" t="str">
        <f ca="1">REPT( "  ", Aop!$C246) &amp; VLOOKUP( Aop!$A246, Aop!$A$2:$P$456, ID_Jezik + 6, 1)</f>
        <v xml:space="preserve">  M. DOBIT I GUBITAK PRIJE OPOREZIVANJA
1. Dobit prije oporezivanja (305 – 306)</v>
      </c>
      <c r="G246" s="275" t="s">
        <v>15</v>
      </c>
      <c r="H246" s="282" t="s">
        <v>7</v>
      </c>
      <c r="I246" s="293" t="s">
        <v>1161</v>
      </c>
      <c r="J246" s="369" t="s">
        <v>797</v>
      </c>
      <c r="K246" s="290"/>
      <c r="L246" s="272"/>
      <c r="M246" s="272"/>
      <c r="N246" s="251"/>
      <c r="O246" s="10"/>
      <c r="P246" s="10"/>
    </row>
    <row r="247" spans="1:16" s="354" customFormat="1" ht="12.75" customHeight="1">
      <c r="A247">
        <f t="shared" si="4"/>
        <v>246</v>
      </c>
      <c r="B247" t="s">
        <v>2377</v>
      </c>
      <c r="C247">
        <v>1</v>
      </c>
      <c r="D247">
        <v>308</v>
      </c>
      <c r="E247" s="10">
        <f ca="1">VLOOKUP( Aop!$A247, Aop!$A$2:$P$456, ID_Jezik +10, 1)</f>
        <v>0</v>
      </c>
      <c r="F247" t="str">
        <f ca="1">REPT( "  ", Aop!$C247) &amp; VLOOKUP( Aop!$A247, Aop!$A$2:$P$456, ID_Jezik + 6, 1)</f>
        <v xml:space="preserve">  2. Gubitak prije oporezivanja (306 – 305)</v>
      </c>
      <c r="G247" s="285" t="s">
        <v>1081</v>
      </c>
      <c r="H247" s="309" t="s">
        <v>890</v>
      </c>
      <c r="I247" s="310" t="s">
        <v>1845</v>
      </c>
      <c r="J247" s="378" t="s">
        <v>726</v>
      </c>
      <c r="K247" s="311"/>
      <c r="L247" s="312"/>
      <c r="M247" s="272"/>
      <c r="N247" s="251"/>
      <c r="O247" s="10"/>
      <c r="P247" s="10"/>
    </row>
    <row r="248" spans="1:16" s="354" customFormat="1" ht="12.75" customHeight="1">
      <c r="A248">
        <f t="shared" si="4"/>
        <v>247</v>
      </c>
      <c r="B248" t="s">
        <v>2377</v>
      </c>
      <c r="C248">
        <v>1</v>
      </c>
      <c r="D248">
        <v>309</v>
      </c>
      <c r="E248" s="10" t="str">
        <f ca="1">VLOOKUP( Aop!$A248, Aop!$A$2:$P$456, ID_Jezik +10, 1)</f>
        <v>721</v>
      </c>
      <c r="F248" t="str">
        <f ca="1">REPT( "  ", Aop!$C248) &amp; VLOOKUP( Aop!$A248, Aop!$A$2:$P$456, ID_Jezik + 6, 1)</f>
        <v xml:space="preserve">  N. TEKUĆI I ODLOŽENI POREZ NA DOBIT
1. Poreski rashodi perioda </v>
      </c>
      <c r="G248" s="288" t="s">
        <v>2270</v>
      </c>
      <c r="H248" s="313" t="s">
        <v>2269</v>
      </c>
      <c r="I248" s="310" t="s">
        <v>1846</v>
      </c>
      <c r="J248" s="378" t="s">
        <v>798</v>
      </c>
      <c r="K248" s="311" t="s">
        <v>2792</v>
      </c>
      <c r="L248" s="312">
        <v>721</v>
      </c>
      <c r="M248" s="272">
        <v>721</v>
      </c>
      <c r="N248" s="251">
        <v>721</v>
      </c>
      <c r="O248" s="10"/>
      <c r="P248" s="10"/>
    </row>
    <row r="249" spans="1:16" s="354" customFormat="1" ht="12.75" customHeight="1">
      <c r="A249">
        <f t="shared" si="4"/>
        <v>248</v>
      </c>
      <c r="B249" t="s">
        <v>2377</v>
      </c>
      <c r="C249">
        <v>2</v>
      </c>
      <c r="D249">
        <v>310</v>
      </c>
      <c r="E249" s="10">
        <f ca="1">VLOOKUP( Aop!$A249, Aop!$A$2:$P$456, ID_Jezik +10, 1)</f>
        <v>0</v>
      </c>
      <c r="F249" t="str">
        <f ca="1">REPT( "  ", Aop!$C249) &amp; VLOOKUP( Aop!$A249, Aop!$A$2:$P$456, ID_Jezik + 6, 1)</f>
        <v xml:space="preserve">    2. Odloženi poreski rashodi (311 + 312)</v>
      </c>
      <c r="G249" s="285" t="s">
        <v>1082</v>
      </c>
      <c r="H249" s="309" t="s">
        <v>891</v>
      </c>
      <c r="I249" s="310" t="s">
        <v>1847</v>
      </c>
      <c r="J249" s="378" t="s">
        <v>727</v>
      </c>
      <c r="K249" s="311"/>
      <c r="L249" s="312"/>
      <c r="M249" s="272"/>
      <c r="N249" s="251"/>
      <c r="O249" s="10"/>
      <c r="P249" s="10"/>
    </row>
    <row r="250" spans="1:16" s="354" customFormat="1" ht="12.75" customHeight="1">
      <c r="A250">
        <f t="shared" si="4"/>
        <v>249</v>
      </c>
      <c r="B250" t="s">
        <v>2377</v>
      </c>
      <c r="C250">
        <v>3</v>
      </c>
      <c r="D250">
        <v>311</v>
      </c>
      <c r="E250" s="10" t="str">
        <f ca="1">VLOOKUP( Aop!$A250, Aop!$A$2:$P$456, ID_Jezik +10, 1)</f>
        <v>722</v>
      </c>
      <c r="F250" t="str">
        <f ca="1">REPT( "  ", Aop!$C250) &amp; VLOOKUP( Aop!$A250, Aop!$A$2:$P$456, ID_Jezik + 6, 1)</f>
        <v xml:space="preserve">      2.1   Efekat smanjenja odloženih poreskih sredstava</v>
      </c>
      <c r="G250" s="285" t="s">
        <v>1083</v>
      </c>
      <c r="H250" s="309" t="s">
        <v>892</v>
      </c>
      <c r="I250" s="310" t="s">
        <v>163</v>
      </c>
      <c r="J250" s="378" t="s">
        <v>1131</v>
      </c>
      <c r="K250" s="311" t="s">
        <v>2793</v>
      </c>
      <c r="L250" s="312">
        <v>722</v>
      </c>
      <c r="M250" s="272">
        <v>722</v>
      </c>
      <c r="N250" s="251">
        <v>722</v>
      </c>
      <c r="O250" s="10"/>
      <c r="P250" s="10"/>
    </row>
    <row r="251" spans="1:16" s="354" customFormat="1" ht="12.75" customHeight="1">
      <c r="A251">
        <f t="shared" si="4"/>
        <v>250</v>
      </c>
      <c r="B251" t="s">
        <v>2377</v>
      </c>
      <c r="C251">
        <v>3</v>
      </c>
      <c r="D251">
        <v>312</v>
      </c>
      <c r="E251" s="10" t="str">
        <f ca="1">VLOOKUP( Aop!$A251, Aop!$A$2:$P$456, ID_Jezik +10, 1)</f>
        <v>724</v>
      </c>
      <c r="F251" t="str">
        <f ca="1">REPT( "  ", Aop!$C251) &amp; VLOOKUP( Aop!$A251, Aop!$A$2:$P$456, ID_Jezik + 6, 1)</f>
        <v xml:space="preserve">      2.2   Efekat povećanja odloženih poreskih obaveza</v>
      </c>
      <c r="G251" s="285" t="s">
        <v>1084</v>
      </c>
      <c r="H251" s="309" t="s">
        <v>893</v>
      </c>
      <c r="I251" s="314" t="s">
        <v>164</v>
      </c>
      <c r="J251" s="378" t="s">
        <v>1132</v>
      </c>
      <c r="K251" s="311" t="s">
        <v>2794</v>
      </c>
      <c r="L251" s="312">
        <v>724</v>
      </c>
      <c r="M251" s="272">
        <v>724</v>
      </c>
      <c r="N251" s="251">
        <v>724</v>
      </c>
      <c r="O251" s="10"/>
      <c r="P251" s="10"/>
    </row>
    <row r="252" spans="1:16" s="354" customFormat="1" ht="12.75" customHeight="1">
      <c r="A252">
        <f t="shared" si="4"/>
        <v>251</v>
      </c>
      <c r="B252" t="s">
        <v>2377</v>
      </c>
      <c r="C252">
        <v>2</v>
      </c>
      <c r="D252">
        <v>313</v>
      </c>
      <c r="E252" s="10">
        <f ca="1">VLOOKUP( Aop!$A252, Aop!$A$2:$P$456, ID_Jezik +10, 1)</f>
        <v>0</v>
      </c>
      <c r="F252" t="str">
        <f ca="1">REPT( "  ", Aop!$C252) &amp; VLOOKUP( Aop!$A252, Aop!$A$2:$P$456, ID_Jezik + 6, 1)</f>
        <v xml:space="preserve">    3. Odloženi poreski prihodi (314 + 315)</v>
      </c>
      <c r="G252" s="285" t="s">
        <v>1085</v>
      </c>
      <c r="H252" s="309" t="s">
        <v>894</v>
      </c>
      <c r="I252" s="310" t="s">
        <v>1848</v>
      </c>
      <c r="J252" s="378" t="s">
        <v>728</v>
      </c>
      <c r="K252" s="311"/>
      <c r="L252" s="312"/>
      <c r="M252" s="272"/>
      <c r="N252" s="251"/>
      <c r="O252" s="10"/>
      <c r="P252" s="10"/>
    </row>
    <row r="253" spans="1:16" s="354" customFormat="1" ht="12.75" customHeight="1">
      <c r="A253">
        <f t="shared" si="4"/>
        <v>252</v>
      </c>
      <c r="B253" t="s">
        <v>2377</v>
      </c>
      <c r="C253" s="3">
        <v>3</v>
      </c>
      <c r="D253" s="3">
        <v>314</v>
      </c>
      <c r="E253" s="10" t="str">
        <f ca="1">VLOOKUP( Aop!$A253, Aop!$A$2:$P$456, ID_Jezik +10, 1)</f>
        <v>723</v>
      </c>
      <c r="F253" t="str">
        <f ca="1">REPT( "  ", Aop!$C253) &amp; VLOOKUP( Aop!$A253, Aop!$A$2:$P$456, ID_Jezik + 6, 1)</f>
        <v xml:space="preserve">      3.1 Efekat povećanja odloženih poreskih sredstava</v>
      </c>
      <c r="G253" s="285" t="s">
        <v>1086</v>
      </c>
      <c r="H253" s="309" t="s">
        <v>895</v>
      </c>
      <c r="I253" s="310" t="s">
        <v>735</v>
      </c>
      <c r="J253" s="378" t="s">
        <v>729</v>
      </c>
      <c r="K253" s="315" t="s">
        <v>2795</v>
      </c>
      <c r="L253" s="316">
        <v>723</v>
      </c>
      <c r="M253" s="273">
        <v>723</v>
      </c>
      <c r="N253" s="251">
        <v>723</v>
      </c>
      <c r="O253" s="10"/>
      <c r="P253" s="10"/>
    </row>
    <row r="254" spans="1:16" s="354" customFormat="1" ht="12.75" customHeight="1">
      <c r="A254">
        <f t="shared" si="4"/>
        <v>253</v>
      </c>
      <c r="B254" t="s">
        <v>2377</v>
      </c>
      <c r="C254">
        <v>3</v>
      </c>
      <c r="D254">
        <v>315</v>
      </c>
      <c r="E254" s="10" t="str">
        <f ca="1">VLOOKUP( Aop!$A254, Aop!$A$2:$P$456, ID_Jezik +10, 1)</f>
        <v>725</v>
      </c>
      <c r="F254" t="str">
        <f ca="1">REPT( "  ", Aop!$C254) &amp; VLOOKUP( Aop!$A254, Aop!$A$2:$P$456, ID_Jezik + 6, 1)</f>
        <v xml:space="preserve">      3.2 Efekat smanjenja odloženih poreskih obaveza</v>
      </c>
      <c r="G254" s="285" t="s">
        <v>1087</v>
      </c>
      <c r="H254" s="309" t="s">
        <v>896</v>
      </c>
      <c r="I254" s="310" t="s">
        <v>736</v>
      </c>
      <c r="J254" s="378" t="s">
        <v>730</v>
      </c>
      <c r="K254" s="315" t="s">
        <v>2796</v>
      </c>
      <c r="L254" s="312">
        <v>725</v>
      </c>
      <c r="M254" s="272">
        <v>725</v>
      </c>
      <c r="N254" s="251">
        <v>725</v>
      </c>
      <c r="O254" s="10"/>
      <c r="P254" s="10"/>
    </row>
    <row r="255" spans="1:16" s="354" customFormat="1" ht="27.75" customHeight="1">
      <c r="A255">
        <f t="shared" si="4"/>
        <v>254</v>
      </c>
      <c r="B255" t="s">
        <v>2377</v>
      </c>
      <c r="C255">
        <v>1</v>
      </c>
      <c r="D255">
        <v>316</v>
      </c>
      <c r="E255" s="10">
        <f ca="1">VLOOKUP( Aop!$A255, Aop!$A$2:$P$456, ID_Jezik +10, 1)</f>
        <v>0</v>
      </c>
      <c r="F255" s="250" t="str">
        <f ca="1">REPT( "  ", Aop!$C255) &amp; VLOOKUP( Aop!$A255, Aop!$A$2:$P$456, ID_Jezik + 6, 1)</f>
        <v xml:space="preserve">  NJ. NETO DOBIT I NETO GUBITAK PERIODA
 1. Neto dobit tekuće godine (307-309-310+313)&gt;0 i 307&gt;0 ili (313-308-309-310)&gt;0 i 308&gt;0</v>
      </c>
      <c r="G255" s="295" t="s">
        <v>17</v>
      </c>
      <c r="H255" s="313" t="s">
        <v>793</v>
      </c>
      <c r="I255" s="310" t="s">
        <v>1849</v>
      </c>
      <c r="J255" s="378" t="s">
        <v>799</v>
      </c>
      <c r="K255" s="315"/>
      <c r="L255" s="312"/>
      <c r="M255" s="272"/>
      <c r="N255" s="251"/>
      <c r="O255" s="10"/>
      <c r="P255" s="10"/>
    </row>
    <row r="256" spans="1:16" s="354" customFormat="1" ht="12.75" customHeight="1">
      <c r="A256">
        <f t="shared" si="4"/>
        <v>255</v>
      </c>
      <c r="B256" t="s">
        <v>2377</v>
      </c>
      <c r="C256">
        <v>0</v>
      </c>
      <c r="D256">
        <v>317</v>
      </c>
      <c r="E256" s="10" t="str">
        <f ca="1">VLOOKUP( Aop!$A256, Aop!$A$2:$P$456, ID_Jezik +10, 1)</f>
        <v xml:space="preserve"> </v>
      </c>
      <c r="F256" s="181" t="str">
        <f ca="1">REPT( "  ", Aop!$C256) &amp; VLOOKUP( Aop!$A256, Aop!$A$2:$P$456, ID_Jezik + 6, 1)</f>
        <v>2. Neto gubitak tekuće godine (308+309+310-313)&gt;0 i 308&gt;0 ili (309+310-307-313)&gt;0 i 307&gt;0</v>
      </c>
      <c r="G256" s="296" t="s">
        <v>1088</v>
      </c>
      <c r="H256" s="309" t="s">
        <v>897</v>
      </c>
      <c r="I256" s="310" t="s">
        <v>1850</v>
      </c>
      <c r="J256" s="378" t="s">
        <v>731</v>
      </c>
      <c r="K256" s="315" t="s">
        <v>2912</v>
      </c>
      <c r="L256" s="312" t="s">
        <v>2912</v>
      </c>
      <c r="M256" s="272" t="s">
        <v>2912</v>
      </c>
      <c r="N256" s="251"/>
      <c r="O256" s="10"/>
      <c r="P256" s="10"/>
    </row>
    <row r="257" spans="1:16" s="354" customFormat="1" ht="12.75" customHeight="1">
      <c r="A257">
        <f t="shared" si="4"/>
        <v>256</v>
      </c>
      <c r="B257" t="s">
        <v>2377</v>
      </c>
      <c r="C257">
        <v>1</v>
      </c>
      <c r="D257">
        <v>318</v>
      </c>
      <c r="E257" s="10" t="str">
        <f ca="1">VLOOKUP( Aop!$A257, Aop!$A$2:$P$456, ID_Jezik +10, 1)</f>
        <v>726</v>
      </c>
      <c r="F257" t="str">
        <f ca="1">REPT( "  ", Aop!$C257) &amp; VLOOKUP( Aop!$A257, Aop!$A$2:$P$456, ID_Jezik + 6, 1)</f>
        <v xml:space="preserve">  O. Međudividende i drugi vidovi raspodjele dobitka u toku perioda</v>
      </c>
      <c r="G257" s="296" t="s">
        <v>1089</v>
      </c>
      <c r="H257" s="309" t="s">
        <v>898</v>
      </c>
      <c r="I257" s="310" t="s">
        <v>1851</v>
      </c>
      <c r="J257" s="378" t="s">
        <v>732</v>
      </c>
      <c r="K257" s="315" t="s">
        <v>2797</v>
      </c>
      <c r="L257" s="312">
        <v>726</v>
      </c>
      <c r="M257" s="272">
        <v>726</v>
      </c>
      <c r="N257" s="251">
        <v>726</v>
      </c>
      <c r="O257" s="10"/>
      <c r="P257" s="10"/>
    </row>
    <row r="258" spans="1:16" s="354" customFormat="1" ht="12.75" customHeight="1">
      <c r="A258">
        <f t="shared" si="4"/>
        <v>257</v>
      </c>
      <c r="B258" t="s">
        <v>2377</v>
      </c>
      <c r="C258">
        <v>0</v>
      </c>
      <c r="D258">
        <v>319</v>
      </c>
      <c r="E258" s="10">
        <f ca="1">VLOOKUP( Aop!$A258, Aop!$A$2:$P$456, ID_Jezik +10, 1)</f>
        <v>0</v>
      </c>
      <c r="F258" t="str">
        <f ca="1">REPT( "  ", Aop!$C258) &amp; VLOOKUP( Aop!$A258, Aop!$A$2:$P$456, ID_Jezik + 6, 1)</f>
        <v>Dio neto dobiti/gubitka koji pripada većinskim vlasnicima</v>
      </c>
      <c r="G258" s="285" t="s">
        <v>1090</v>
      </c>
      <c r="H258" s="309" t="s">
        <v>2509</v>
      </c>
      <c r="I258" s="310" t="s">
        <v>1442</v>
      </c>
      <c r="J258" s="378" t="s">
        <v>733</v>
      </c>
      <c r="K258" s="315"/>
      <c r="L258" s="312"/>
      <c r="M258" s="274"/>
      <c r="N258" s="251"/>
      <c r="O258" s="10"/>
      <c r="P258" s="10"/>
    </row>
    <row r="259" spans="1:16" s="354" customFormat="1" ht="12.75" customHeight="1">
      <c r="A259">
        <f t="shared" si="4"/>
        <v>258</v>
      </c>
      <c r="B259" t="s">
        <v>2377</v>
      </c>
      <c r="C259">
        <v>0</v>
      </c>
      <c r="D259">
        <v>320</v>
      </c>
      <c r="E259" s="10">
        <f ca="1">VLOOKUP( Aop!$A259, Aop!$A$2:$P$456, ID_Jezik +10, 1)</f>
        <v>0</v>
      </c>
      <c r="F259" t="str">
        <f ca="1">REPT( "  ", Aop!$C259) &amp; VLOOKUP( Aop!$A259, Aop!$A$2:$P$456, ID_Jezik + 6, 1)</f>
        <v>Dio neto dobiti/gubitka koji pripada manjinskim vlasnicima</v>
      </c>
      <c r="G259" s="285" t="s">
        <v>1091</v>
      </c>
      <c r="H259" s="309" t="s">
        <v>2510</v>
      </c>
      <c r="I259" s="310" t="s">
        <v>1443</v>
      </c>
      <c r="J259" s="378" t="s">
        <v>734</v>
      </c>
      <c r="K259" s="315"/>
      <c r="L259" s="312"/>
      <c r="M259" s="274"/>
      <c r="N259" s="251"/>
      <c r="O259" s="10"/>
      <c r="P259" s="10"/>
    </row>
    <row r="260" spans="1:16" s="354" customFormat="1" ht="12.75" customHeight="1">
      <c r="A260">
        <f t="shared" si="4"/>
        <v>259</v>
      </c>
      <c r="B260" t="s">
        <v>2377</v>
      </c>
      <c r="C260">
        <v>0</v>
      </c>
      <c r="D260">
        <v>321</v>
      </c>
      <c r="E260" s="10">
        <f ca="1">VLOOKUP( Aop!$A260, Aop!$A$2:$P$456, ID_Jezik +10, 1)</f>
        <v>0</v>
      </c>
      <c r="F260" t="str">
        <f ca="1">REPT( "  ", Aop!$C260) &amp; VLOOKUP( Aop!$A260, Aop!$A$2:$P$456, ID_Jezik + 6, 1)</f>
        <v>Obična zarada po akciji</v>
      </c>
      <c r="G260" s="285" t="s">
        <v>1436</v>
      </c>
      <c r="H260" s="309" t="s">
        <v>1813</v>
      </c>
      <c r="I260" s="310" t="s">
        <v>1441</v>
      </c>
      <c r="J260" s="378" t="s">
        <v>2161</v>
      </c>
      <c r="K260" s="315"/>
      <c r="L260" s="312"/>
      <c r="M260" s="274"/>
      <c r="N260" s="251"/>
      <c r="O260" s="10"/>
      <c r="P260" s="10"/>
    </row>
    <row r="261" spans="1:16" s="354" customFormat="1" ht="12.75" customHeight="1">
      <c r="A261">
        <f t="shared" si="4"/>
        <v>260</v>
      </c>
      <c r="B261" t="s">
        <v>2377</v>
      </c>
      <c r="C261">
        <v>0</v>
      </c>
      <c r="D261">
        <v>322</v>
      </c>
      <c r="E261" s="10">
        <f ca="1">VLOOKUP( Aop!$A261, Aop!$A$2:$P$456, ID_Jezik +10, 1)</f>
        <v>0</v>
      </c>
      <c r="F261" t="str">
        <f ca="1">REPT( "  ", Aop!$C261) &amp; VLOOKUP( Aop!$A261, Aop!$A$2:$P$456, ID_Jezik + 6, 1)</f>
        <v>Razrijeđena zarada po akciji</v>
      </c>
      <c r="G261" s="285" t="s">
        <v>1409</v>
      </c>
      <c r="H261" s="309" t="s">
        <v>1814</v>
      </c>
      <c r="I261" s="310" t="s">
        <v>1434</v>
      </c>
      <c r="J261" s="378" t="s">
        <v>2162</v>
      </c>
      <c r="K261" s="315"/>
      <c r="L261" s="312"/>
      <c r="M261" s="274"/>
      <c r="N261" s="251"/>
      <c r="O261" s="10"/>
      <c r="P261" s="10"/>
    </row>
    <row r="262" spans="1:16" s="354" customFormat="1" ht="12.75" customHeight="1">
      <c r="A262">
        <f t="shared" si="4"/>
        <v>261</v>
      </c>
      <c r="B262" t="s">
        <v>2377</v>
      </c>
      <c r="C262">
        <v>0</v>
      </c>
      <c r="D262">
        <v>323</v>
      </c>
      <c r="E262" s="10">
        <f ca="1">VLOOKUP( Aop!$A262, Aop!$A$2:$P$456, ID_Jezik +10, 1)</f>
        <v>0</v>
      </c>
      <c r="F262" t="str">
        <f ca="1">REPT( "  ", Aop!$C262) &amp; VLOOKUP( Aop!$A262, Aop!$A$2:$P$456, ID_Jezik + 6, 1)</f>
        <v>Prosječan broj zaposlenih po osnovu časova rada</v>
      </c>
      <c r="G262" s="285" t="s">
        <v>1437</v>
      </c>
      <c r="H262" s="309" t="s">
        <v>1815</v>
      </c>
      <c r="I262" s="317" t="s">
        <v>1162</v>
      </c>
      <c r="J262" s="378" t="s">
        <v>2163</v>
      </c>
      <c r="K262" s="315"/>
      <c r="L262" s="312"/>
      <c r="M262" s="274"/>
      <c r="N262" s="251"/>
      <c r="O262" s="10"/>
      <c r="P262" s="10"/>
    </row>
    <row r="263" spans="1:16" s="354" customFormat="1" ht="12.75" customHeight="1">
      <c r="A263">
        <f t="shared" si="4"/>
        <v>262</v>
      </c>
      <c r="B263" t="s">
        <v>2377</v>
      </c>
      <c r="C263">
        <v>0</v>
      </c>
      <c r="D263">
        <v>324</v>
      </c>
      <c r="E263" s="2">
        <f ca="1">VLOOKUP( Aop!$A263, Aop!$A$2:$P$456, ID_Jezik +10, 1)</f>
        <v>0</v>
      </c>
      <c r="F263" t="str">
        <f ca="1">REPT( "  ", Aop!$C263) &amp; VLOOKUP( Aop!$A263, Aop!$A$2:$P$456, ID_Jezik + 6, 1)</f>
        <v>Prosječan broj zaposlenih po osnovu stanja na kraju mjeseca</v>
      </c>
      <c r="G263" s="285" t="s">
        <v>1444</v>
      </c>
      <c r="H263" s="309" t="s">
        <v>1816</v>
      </c>
      <c r="I263" s="317" t="s">
        <v>1163</v>
      </c>
      <c r="J263" s="378" t="s">
        <v>2164</v>
      </c>
      <c r="K263" s="311"/>
      <c r="L263" s="312"/>
      <c r="M263" s="274"/>
      <c r="N263" s="251"/>
      <c r="O263" s="10"/>
      <c r="P263" s="10"/>
    </row>
    <row r="264" spans="1:16" s="354" customFormat="1" ht="20.25" customHeight="1">
      <c r="A264">
        <f t="shared" si="4"/>
        <v>263</v>
      </c>
      <c r="B264" t="s">
        <v>2386</v>
      </c>
      <c r="C264">
        <v>0</v>
      </c>
      <c r="D264" s="3">
        <v>400</v>
      </c>
      <c r="E264" s="10">
        <f ca="1">VLOOKUP( Aop!$A264, Aop!$A$2:$P$456, ID_Jezik +10, 1)</f>
        <v>0</v>
      </c>
      <c r="F264" t="str">
        <f ca="1">REPT( "  ", Aop!$C264) &amp; VLOOKUP( Aop!$A264, Aop!$A$2:$P$456, ID_Jezik + 6, 1)</f>
        <v>A  NETO DOBIT ILI NETO GUBITAK PERIODA</v>
      </c>
      <c r="G264" s="285" t="s">
        <v>25</v>
      </c>
      <c r="H264" s="318" t="s">
        <v>609</v>
      </c>
      <c r="I264" s="319" t="s">
        <v>1888</v>
      </c>
      <c r="J264" s="379" t="s">
        <v>141</v>
      </c>
      <c r="K264" s="311"/>
      <c r="L264" s="311"/>
      <c r="M264" s="289"/>
      <c r="N264" s="251" t="s">
        <v>135</v>
      </c>
      <c r="O264" s="10">
        <v>1</v>
      </c>
      <c r="P264" s="10"/>
    </row>
    <row r="265" spans="1:16" s="354" customFormat="1" ht="29.25" customHeight="1">
      <c r="A265">
        <f t="shared" si="4"/>
        <v>264</v>
      </c>
      <c r="B265" t="s">
        <v>2386</v>
      </c>
      <c r="C265">
        <v>2</v>
      </c>
      <c r="D265" s="3">
        <v>401</v>
      </c>
      <c r="E265" s="10">
        <f ca="1">VLOOKUP( Aop!$A265, Aop!$A$2:$P$456, ID_Jezik +10, 1)</f>
        <v>0</v>
      </c>
      <c r="F265" t="str">
        <f ca="1">REPT( "  ", Aop!$C265) &amp; VLOOKUP( Aop!$A265, Aop!$A$2:$P$456, ID_Jezik + 6, 1)</f>
        <v xml:space="preserve">    1. Stavke koje mogu biti reklasifikovane u bilans uspjeha (±402+403±404±405-406+407)</v>
      </c>
      <c r="G265" s="298" t="s">
        <v>2803</v>
      </c>
      <c r="H265" s="320" t="s">
        <v>2800</v>
      </c>
      <c r="I265" s="321" t="s">
        <v>1889</v>
      </c>
      <c r="J265" s="380" t="s">
        <v>142</v>
      </c>
      <c r="K265" s="311"/>
      <c r="L265" s="311"/>
      <c r="M265" s="289"/>
      <c r="N265" s="251"/>
      <c r="O265" s="10">
        <v>1</v>
      </c>
      <c r="P265" s="10"/>
    </row>
    <row r="266" spans="1:16" s="354" customFormat="1" ht="12.75" customHeight="1">
      <c r="A266">
        <f t="shared" si="4"/>
        <v>265</v>
      </c>
      <c r="B266" t="s">
        <v>2386</v>
      </c>
      <c r="C266">
        <v>3</v>
      </c>
      <c r="D266" s="3">
        <v>402</v>
      </c>
      <c r="E266" s="10" t="str">
        <f ca="1">VLOOKUP( Aop!$A266, Aop!$A$2:$P$456, ID_Jezik +10, 1)</f>
        <v>Promjena na 332 i 333</v>
      </c>
      <c r="F266" t="str">
        <f ca="1">REPT( "  ", Aop!$C266) &amp; VLOOKUP( Aop!$A266, Aop!$A$2:$P$456, ID_Jezik + 6, 1)</f>
        <v xml:space="preserve">      1.1 Povećanje/(smanjenje) fer vrijednosti dužničkih instrumenata po fer vrijednosti kroz ostali ukupan rezultat</v>
      </c>
      <c r="G266" s="285" t="s">
        <v>1312</v>
      </c>
      <c r="H266" s="322" t="s">
        <v>1309</v>
      </c>
      <c r="I266" s="323" t="s">
        <v>737</v>
      </c>
      <c r="J266" s="378" t="s">
        <v>899</v>
      </c>
      <c r="K266" s="311" t="s">
        <v>300</v>
      </c>
      <c r="L266" s="311" t="s">
        <v>304</v>
      </c>
      <c r="M266" s="289" t="s">
        <v>308</v>
      </c>
      <c r="N266" s="251" t="s">
        <v>136</v>
      </c>
      <c r="O266" s="10"/>
      <c r="P266" s="10">
        <v>1</v>
      </c>
    </row>
    <row r="267" spans="1:16" s="354" customFormat="1" ht="12.75" customHeight="1">
      <c r="A267">
        <f t="shared" si="4"/>
        <v>266</v>
      </c>
      <c r="B267" t="s">
        <v>2386</v>
      </c>
      <c r="C267">
        <v>3</v>
      </c>
      <c r="D267" s="3">
        <v>403</v>
      </c>
      <c r="E267" s="10" t="str">
        <f ca="1">VLOOKUP( Aop!$A267, Aop!$A$2:$P$456, ID_Jezik +10, 1)</f>
        <v>Promjena na 331</v>
      </c>
      <c r="F267" t="str">
        <f ca="1">REPT( "  ", Aop!$C267) &amp; VLOOKUP( Aop!$A267, Aop!$A$2:$P$456, ID_Jezik + 6, 1)</f>
        <v xml:space="preserve">      1.2 Efekti proistekli iz transakcija zaštite ("hedging")</v>
      </c>
      <c r="G267" s="285" t="s">
        <v>1313</v>
      </c>
      <c r="H267" s="322" t="s">
        <v>1310</v>
      </c>
      <c r="I267" s="310" t="s">
        <v>1890</v>
      </c>
      <c r="J267" s="378" t="s">
        <v>900</v>
      </c>
      <c r="K267" s="311" t="s">
        <v>301</v>
      </c>
      <c r="L267" s="311" t="s">
        <v>305</v>
      </c>
      <c r="M267" s="289" t="s">
        <v>309</v>
      </c>
      <c r="N267" s="251" t="s">
        <v>137</v>
      </c>
      <c r="O267" s="10"/>
      <c r="P267" s="10"/>
    </row>
    <row r="268" spans="1:16" s="354" customFormat="1" ht="12.75" customHeight="1">
      <c r="A268">
        <f t="shared" ref="A268:A273" si="5">ROW()-ROW($A$1)</f>
        <v>267</v>
      </c>
      <c r="B268" t="s">
        <v>2386</v>
      </c>
      <c r="C268">
        <v>3</v>
      </c>
      <c r="D268" s="3">
        <v>404</v>
      </c>
      <c r="E268" s="10">
        <f ca="1">VLOOKUP( Aop!$A268, Aop!$A$2:$P$456, ID_Jezik +10, 1)</f>
        <v>0</v>
      </c>
      <c r="F268" t="str">
        <f ca="1">REPT( "  ", Aop!$C268) &amp; VLOOKUP( Aop!$A268, Aop!$A$2:$P$456, ID_Jezik + 6, 1)</f>
        <v xml:space="preserve">      1.3 Udio u ostalom ukupnom rezultatu pridruženog društva i zajedničkog poduhvata primjenom metode udjela</v>
      </c>
      <c r="G268" s="285" t="s">
        <v>1314</v>
      </c>
      <c r="H268" s="322" t="s">
        <v>1311</v>
      </c>
      <c r="I268" s="310" t="s">
        <v>1891</v>
      </c>
      <c r="J268" s="378" t="s">
        <v>901</v>
      </c>
      <c r="K268" s="311"/>
      <c r="L268" s="311"/>
      <c r="M268" s="289"/>
      <c r="N268" s="251"/>
      <c r="O268" s="10"/>
      <c r="P268" s="10"/>
    </row>
    <row r="269" spans="1:16" s="354" customFormat="1" ht="12.75" customHeight="1">
      <c r="A269">
        <f t="shared" si="5"/>
        <v>268</v>
      </c>
      <c r="B269" t="s">
        <v>2386</v>
      </c>
      <c r="C269">
        <v>3</v>
      </c>
      <c r="D269" s="3">
        <v>405</v>
      </c>
      <c r="E269" s="10">
        <f ca="1">VLOOKUP( Aop!$A269, Aop!$A$2:$P$456, ID_Jezik +10, 1)</f>
        <v>0</v>
      </c>
      <c r="F269" t="str">
        <f ca="1">REPT( "  ", Aop!$C269) &amp; VLOOKUP( Aop!$A269, Aop!$A$2:$P$456, ID_Jezik + 6, 1)</f>
        <v xml:space="preserve">      1.4 Dobici ili gubici po osnovu konverzije finansijskih izvještaja inostranog poslovanja</v>
      </c>
      <c r="G269" s="285" t="s">
        <v>1315</v>
      </c>
      <c r="H269" s="322" t="s">
        <v>1308</v>
      </c>
      <c r="I269" s="310" t="s">
        <v>1892</v>
      </c>
      <c r="J269" s="378" t="s">
        <v>902</v>
      </c>
      <c r="K269" s="311"/>
      <c r="L269" s="311"/>
      <c r="M269" s="289"/>
      <c r="N269" s="251"/>
      <c r="O269" s="10"/>
      <c r="P269" s="10"/>
    </row>
    <row r="270" spans="1:16" s="354" customFormat="1" ht="12.75" customHeight="1">
      <c r="A270">
        <f t="shared" si="5"/>
        <v>269</v>
      </c>
      <c r="B270" t="s">
        <v>2386</v>
      </c>
      <c r="C270">
        <v>3</v>
      </c>
      <c r="D270" s="3">
        <v>406</v>
      </c>
      <c r="E270" s="10" t="str">
        <f ca="1">VLOOKUP( Aop!$A270, Aop!$A$2:$P$456, ID_Jezik +10, 1)</f>
        <v>Promjena na 339, dio</v>
      </c>
      <c r="F270" t="str">
        <f ca="1">REPT( "  ", Aop!$C270) &amp; VLOOKUP( Aop!$A270, Aop!$A$2:$P$456, ID_Jezik + 6, 1)</f>
        <v xml:space="preserve">      1.5 Ostale stavke koje mogu biti reklasifikovane u bilans uspjeha</v>
      </c>
      <c r="G270" s="285" t="s">
        <v>1316</v>
      </c>
      <c r="H270" s="322" t="s">
        <v>1307</v>
      </c>
      <c r="I270" s="310" t="s">
        <v>1893</v>
      </c>
      <c r="J270" s="378" t="s">
        <v>903</v>
      </c>
      <c r="K270" s="311" t="s">
        <v>302</v>
      </c>
      <c r="L270" s="311" t="s">
        <v>306</v>
      </c>
      <c r="M270" s="289" t="s">
        <v>310</v>
      </c>
      <c r="N270" s="251" t="s">
        <v>138</v>
      </c>
      <c r="O270" s="10"/>
      <c r="P270" s="10"/>
    </row>
    <row r="271" spans="1:16" s="354" customFormat="1" ht="12.75" customHeight="1">
      <c r="A271">
        <f t="shared" si="5"/>
        <v>270</v>
      </c>
      <c r="B271" t="s">
        <v>2386</v>
      </c>
      <c r="C271">
        <v>3</v>
      </c>
      <c r="D271" s="3">
        <v>407</v>
      </c>
      <c r="E271" s="10">
        <f ca="1">VLOOKUP( Aop!$A271, Aop!$A$2:$P$456, ID_Jezik +10, 1)</f>
        <v>0</v>
      </c>
      <c r="F271" t="str">
        <f ca="1">REPT( "  ", Aop!$C271) &amp; VLOOKUP( Aop!$A271, Aop!$A$2:$P$456, ID_Jezik + 6, 1)</f>
        <v xml:space="preserve">      1.6  Odloženi porez na dobit koji se odnosi na ove stavke </v>
      </c>
      <c r="G271" s="285" t="s">
        <v>1317</v>
      </c>
      <c r="H271" s="322" t="s">
        <v>1306</v>
      </c>
      <c r="I271" s="310" t="s">
        <v>1894</v>
      </c>
      <c r="J271" s="378" t="s">
        <v>904</v>
      </c>
      <c r="K271" s="311"/>
      <c r="L271" s="311"/>
      <c r="M271" s="289"/>
      <c r="N271" s="251"/>
      <c r="O271" s="10"/>
      <c r="P271" s="10"/>
    </row>
    <row r="272" spans="1:16" s="354" customFormat="1" ht="12.75" customHeight="1">
      <c r="A272">
        <f t="shared" si="5"/>
        <v>271</v>
      </c>
      <c r="B272" t="s">
        <v>2386</v>
      </c>
      <c r="C272">
        <v>2</v>
      </c>
      <c r="D272" s="3">
        <v>408</v>
      </c>
      <c r="E272" s="10">
        <f ca="1">VLOOKUP( Aop!$A272, Aop!$A$2:$P$456, ID_Jezik +10, 1)</f>
        <v>0</v>
      </c>
      <c r="F272" t="str">
        <f ca="1">REPT( "  ", Aop!$C272) &amp; VLOOKUP( Aop!$A272, Aop!$A$2:$P$456, ID_Jezik + 6, 1)</f>
        <v xml:space="preserve">    2.  Stavke koje neće biti reklasifikovane u bilans uspjeha (± 409± 410 ± 411 ± 412 ± 413 ± 414)</v>
      </c>
      <c r="G272" s="285" t="s">
        <v>2804</v>
      </c>
      <c r="H272" s="324" t="s">
        <v>2801</v>
      </c>
      <c r="I272" s="310" t="s">
        <v>1895</v>
      </c>
      <c r="J272" s="378" t="s">
        <v>905</v>
      </c>
      <c r="K272" s="311"/>
      <c r="L272" s="311"/>
      <c r="M272" s="289"/>
      <c r="N272" s="251"/>
      <c r="O272" s="10">
        <v>1</v>
      </c>
      <c r="P272" s="10"/>
    </row>
    <row r="273" spans="1:16" s="354" customFormat="1" ht="12.75" customHeight="1">
      <c r="A273">
        <f t="shared" si="5"/>
        <v>272</v>
      </c>
      <c r="B273" t="s">
        <v>2386</v>
      </c>
      <c r="C273">
        <v>3</v>
      </c>
      <c r="D273" s="3">
        <v>409</v>
      </c>
      <c r="E273" s="10" t="str">
        <f ca="1">VLOOKUP( Aop!$A273, Aop!$A$2:$P$456, ID_Jezik +10, 1)</f>
        <v>Promjena na 330</v>
      </c>
      <c r="F273" t="str">
        <f ca="1">REPT( "  ", Aop!$C273) &amp; VLOOKUP( Aop!$A273, Aop!$A$2:$P$456, ID_Jezik + 6, 1)</f>
        <v xml:space="preserve">      2.1 Revalorizacija nekretnina, postrojenja, opreme i nematerijalne imovine</v>
      </c>
      <c r="G273" s="285" t="s">
        <v>2805</v>
      </c>
      <c r="H273" s="325" t="s">
        <v>2984</v>
      </c>
      <c r="I273" s="310" t="s">
        <v>1896</v>
      </c>
      <c r="J273" s="378" t="s">
        <v>906</v>
      </c>
      <c r="K273" s="311" t="s">
        <v>303</v>
      </c>
      <c r="L273" s="311" t="s">
        <v>307</v>
      </c>
      <c r="M273" s="289" t="s">
        <v>311</v>
      </c>
      <c r="N273" s="251" t="s">
        <v>139</v>
      </c>
      <c r="O273" s="10"/>
      <c r="P273" s="10"/>
    </row>
    <row r="274" spans="1:16" s="354" customFormat="1" ht="12.75" customHeight="1">
      <c r="A274">
        <f>ROW()-ROW($A$1)</f>
        <v>273</v>
      </c>
      <c r="B274" t="s">
        <v>2386</v>
      </c>
      <c r="C274">
        <v>3</v>
      </c>
      <c r="D274" s="3">
        <v>410</v>
      </c>
      <c r="E274" s="10" t="str">
        <f ca="1">VLOOKUP( Aop!$A274, Aop!$A$2:$P$456, ID_Jezik +10, 1)</f>
        <v>Promjena na 332 i 333</v>
      </c>
      <c r="F274" t="str">
        <f ca="1">REPT( "  ", Aop!$C274) &amp; VLOOKUP( Aop!$A274, Aop!$A$2:$P$456, ID_Jezik + 6, 1)</f>
        <v xml:space="preserve">      2.2  Povećanje/(smanjenje) fer vrijednosti vlasničkih instrumenata po fer vrijednosti kroz ostali ukupan rezultat</v>
      </c>
      <c r="G274" s="285" t="s">
        <v>2806</v>
      </c>
      <c r="H274" s="322" t="s">
        <v>2985</v>
      </c>
      <c r="I274" s="310" t="s">
        <v>1897</v>
      </c>
      <c r="J274" s="378" t="s">
        <v>907</v>
      </c>
      <c r="K274" s="311" t="s">
        <v>300</v>
      </c>
      <c r="L274" s="311" t="s">
        <v>304</v>
      </c>
      <c r="M274" s="289" t="s">
        <v>312</v>
      </c>
      <c r="N274" s="251" t="s">
        <v>140</v>
      </c>
      <c r="O274" s="10"/>
      <c r="P274" s="10"/>
    </row>
    <row r="275" spans="1:16" s="354" customFormat="1" ht="12.75" customHeight="1">
      <c r="A275">
        <f>ROW()-ROW($A$1)</f>
        <v>274</v>
      </c>
      <c r="B275" t="s">
        <v>2386</v>
      </c>
      <c r="C275">
        <v>3</v>
      </c>
      <c r="D275">
        <v>411</v>
      </c>
      <c r="E275" s="10" t="str">
        <f ca="1">VLOOKUP( Aop!$A275, Aop!$A$2:$P$456, ID_Jezik +10, 1)</f>
        <v>Promjena na 339, dio</v>
      </c>
      <c r="F275" t="str">
        <f ca="1">REPT( "  ", Aop!$C275) &amp; VLOOKUP( Aop!$A275, Aop!$A$2:$P$456, ID_Jezik + 6, 1)</f>
        <v xml:space="preserve">      2.3  Aktuarski dobici/(gubici) od planova definisanih primanja</v>
      </c>
      <c r="G275" s="285" t="s">
        <v>1318</v>
      </c>
      <c r="H275" s="322" t="s">
        <v>1304</v>
      </c>
      <c r="I275" s="310" t="s">
        <v>1898</v>
      </c>
      <c r="J275" s="378" t="s">
        <v>908</v>
      </c>
      <c r="K275" s="311" t="s">
        <v>302</v>
      </c>
      <c r="L275" s="311" t="s">
        <v>306</v>
      </c>
      <c r="M275" s="289" t="s">
        <v>310</v>
      </c>
      <c r="N275" s="251" t="s">
        <v>138</v>
      </c>
      <c r="O275" s="10"/>
      <c r="P275" s="10"/>
    </row>
    <row r="276" spans="1:16" s="354" customFormat="1" ht="12.75" customHeight="1">
      <c r="A276">
        <f>ROW()-ROW($A$1)</f>
        <v>275</v>
      </c>
      <c r="B276" t="s">
        <v>2386</v>
      </c>
      <c r="C276">
        <v>3</v>
      </c>
      <c r="D276">
        <v>412</v>
      </c>
      <c r="E276" s="10">
        <f ca="1">VLOOKUP( Aop!$A276, Aop!$A$2:$P$456, ID_Jezik +10, 1)</f>
        <v>0</v>
      </c>
      <c r="F276" t="str">
        <f ca="1">REPT( "  ", Aop!$C276) &amp; VLOOKUP( Aop!$A276, Aop!$A$2:$P$456, ID_Jezik + 6, 1)</f>
        <v xml:space="preserve">      2.4 Udio u ostalom ukupnom rezultatu pridruženog društva i zajedničkog poduhvata primjenom metode udjela</v>
      </c>
      <c r="G276" s="285" t="s">
        <v>1319</v>
      </c>
      <c r="H276" s="322" t="s">
        <v>1305</v>
      </c>
      <c r="I276" s="326" t="s">
        <v>1899</v>
      </c>
      <c r="J276" s="378" t="s">
        <v>909</v>
      </c>
      <c r="K276" s="311"/>
      <c r="L276" s="311"/>
      <c r="M276" s="289"/>
      <c r="N276" s="251"/>
      <c r="O276" s="10"/>
      <c r="P276" s="10"/>
    </row>
    <row r="277" spans="1:16" s="354" customFormat="1" ht="12.75" customHeight="1">
      <c r="A277">
        <f t="shared" ref="A277:A286" si="6">ROW()-ROW($A$1)</f>
        <v>276</v>
      </c>
      <c r="B277" t="s">
        <v>2386</v>
      </c>
      <c r="C277">
        <v>3</v>
      </c>
      <c r="D277">
        <v>413</v>
      </c>
      <c r="E277" s="10" t="str">
        <f ca="1">VLOOKUP( Aop!$A277, Aop!$A$2:$P$456, ID_Jezik +10, 1)</f>
        <v>Promjena na 339, dio</v>
      </c>
      <c r="F277" t="str">
        <f ca="1">REPT( "  ", Aop!$C277) &amp; VLOOKUP( Aop!$A277, Aop!$A$2:$P$456, ID_Jezik + 6, 1)</f>
        <v xml:space="preserve">      2.5 Ostale stavke koje neće biti reklasifikovane u bilans uspjeha</v>
      </c>
      <c r="G277" s="285" t="s">
        <v>2807</v>
      </c>
      <c r="H277" s="327" t="s">
        <v>2986</v>
      </c>
      <c r="I277" s="310" t="s">
        <v>1900</v>
      </c>
      <c r="J277" s="378" t="s">
        <v>910</v>
      </c>
      <c r="K277" s="311" t="s">
        <v>302</v>
      </c>
      <c r="L277" s="311" t="s">
        <v>306</v>
      </c>
      <c r="M277" s="289" t="s">
        <v>310</v>
      </c>
      <c r="N277" s="251" t="s">
        <v>138</v>
      </c>
      <c r="O277" s="10"/>
      <c r="P277" s="10"/>
    </row>
    <row r="278" spans="1:16" s="354" customFormat="1" ht="12.75" customHeight="1">
      <c r="A278">
        <f t="shared" si="6"/>
        <v>277</v>
      </c>
      <c r="B278" t="s">
        <v>2386</v>
      </c>
      <c r="C278">
        <v>3</v>
      </c>
      <c r="D278">
        <v>414</v>
      </c>
      <c r="E278" s="10">
        <f ca="1">VLOOKUP( Aop!$A278, Aop!$A$2:$P$456, ID_Jezik +10, 1)</f>
        <v>0</v>
      </c>
      <c r="F278" t="str">
        <f ca="1">REPT( "  ", Aop!$C278) &amp; VLOOKUP( Aop!$A278, Aop!$A$2:$P$456, ID_Jezik + 6, 1)</f>
        <v xml:space="preserve">      2.6 Odloženi porez na dobit koji se odnosi na ove stavke</v>
      </c>
      <c r="G278" s="285" t="s">
        <v>2808</v>
      </c>
      <c r="H278" s="327" t="s">
        <v>2987</v>
      </c>
      <c r="I278" s="310" t="s">
        <v>1901</v>
      </c>
      <c r="J278" s="378" t="s">
        <v>911</v>
      </c>
      <c r="K278" s="311"/>
      <c r="L278" s="311"/>
      <c r="M278" s="289"/>
      <c r="N278" s="287"/>
      <c r="O278" s="10">
        <v>1</v>
      </c>
      <c r="P278" s="10"/>
    </row>
    <row r="279" spans="1:16" s="354" customFormat="1" ht="12.75" customHeight="1">
      <c r="A279">
        <f t="shared" si="6"/>
        <v>278</v>
      </c>
      <c r="B279" t="s">
        <v>2386</v>
      </c>
      <c r="C279">
        <v>1</v>
      </c>
      <c r="D279">
        <v>415</v>
      </c>
      <c r="E279" s="10">
        <f ca="1">VLOOKUP( Aop!$A279, Aop!$A$2:$P$456, ID_Jezik +10, 1)</f>
        <v>0</v>
      </c>
      <c r="F279" t="str">
        <f ca="1">REPT( "  ", Aop!$C279) &amp; VLOOKUP( Aop!$A279, Aop!$A$2:$P$456, ID_Jezik + 6, 1)</f>
        <v xml:space="preserve">  B. OSTALA DOBIT/GUBITAK U PERIODU (± 401 ± 408)</v>
      </c>
      <c r="G279" s="285" t="s">
        <v>2809</v>
      </c>
      <c r="H279" s="328" t="s">
        <v>2988</v>
      </c>
      <c r="I279" s="319" t="s">
        <v>1902</v>
      </c>
      <c r="J279" s="378" t="s">
        <v>912</v>
      </c>
      <c r="K279" s="311"/>
      <c r="L279" s="311"/>
      <c r="M279" s="289"/>
      <c r="N279" s="287"/>
      <c r="O279" s="10">
        <v>1</v>
      </c>
      <c r="P279" s="10"/>
    </row>
    <row r="280" spans="1:16" s="354" customFormat="1" ht="12.75" customHeight="1">
      <c r="A280">
        <f>ROW()-ROW($A$1)</f>
        <v>279</v>
      </c>
      <c r="B280" t="s">
        <v>2386</v>
      </c>
      <c r="C280"/>
      <c r="D280"/>
      <c r="E280" s="10">
        <f ca="1">VLOOKUP( Aop!$A280, Aop!$A$2:$P$456, ID_Jezik +10, 1)</f>
        <v>0</v>
      </c>
      <c r="F280" t="str">
        <f ca="1">REPT( "  ", Aop!$C280) &amp; VLOOKUP( Aop!$A280, Aop!$A$2:$P$456, ID_Jezik + 6, 1)</f>
        <v/>
      </c>
      <c r="G280" s="285"/>
      <c r="H280" s="309"/>
      <c r="I280" s="310"/>
      <c r="J280" s="378"/>
      <c r="K280" s="311"/>
      <c r="L280" s="311"/>
      <c r="M280" s="289"/>
      <c r="N280" s="287"/>
      <c r="O280" s="10"/>
      <c r="P280" s="10"/>
    </row>
    <row r="281" spans="1:16" s="354" customFormat="1" ht="12.75" customHeight="1">
      <c r="A281" s="336">
        <f t="shared" si="6"/>
        <v>280</v>
      </c>
      <c r="B281" s="336" t="s">
        <v>2386</v>
      </c>
      <c r="C281" s="336">
        <v>0</v>
      </c>
      <c r="D281" s="336">
        <v>416</v>
      </c>
      <c r="E281" s="341">
        <f ca="1">VLOOKUP( Aop!$A281, Aop!$A$2:$P$456, ID_Jezik +10, 1)</f>
        <v>0</v>
      </c>
      <c r="F281" s="336" t="str">
        <f ca="1">REPT( "  ", Aop!$C281) &amp; VLOOKUP( Aop!$A281, Aop!$A$2:$P$456, ID_Jezik + 6, 1)</f>
        <v xml:space="preserve"> V. UKUPNA DOBIT / (GUBITAK) (400± 415)</v>
      </c>
      <c r="G281" s="310" t="s">
        <v>2810</v>
      </c>
      <c r="H281" s="318" t="s">
        <v>2989</v>
      </c>
      <c r="I281" s="319" t="s">
        <v>1903</v>
      </c>
      <c r="J281" s="378" t="s">
        <v>913</v>
      </c>
      <c r="K281" s="311"/>
      <c r="L281" s="311"/>
      <c r="M281" s="311"/>
      <c r="N281" s="342"/>
      <c r="O281" s="341">
        <v>1</v>
      </c>
      <c r="P281" s="341"/>
    </row>
    <row r="282" spans="1:16" s="354" customFormat="1" ht="12.75" customHeight="1">
      <c r="A282" s="336">
        <f t="shared" si="6"/>
        <v>281</v>
      </c>
      <c r="B282" s="336" t="s">
        <v>2386</v>
      </c>
      <c r="C282" s="336">
        <v>0</v>
      </c>
      <c r="D282" s="336"/>
      <c r="E282" s="341">
        <f ca="1">VLOOKUP( Aop!$A282, Aop!$A$2:$P$456, ID_Jezik +10, 1)</f>
        <v>0</v>
      </c>
      <c r="F282" s="336" t="str">
        <f ca="1">REPT( "  ", Aop!$C282) &amp; VLOOKUP( Aop!$A282, Aop!$A$2:$P$456, ID_Jezik + 6, 1)</f>
        <v xml:space="preserve"> </v>
      </c>
      <c r="G282" s="310" t="s">
        <v>2912</v>
      </c>
      <c r="H282" s="318" t="s">
        <v>2912</v>
      </c>
      <c r="I282" s="310"/>
      <c r="J282" s="378"/>
      <c r="K282" s="311"/>
      <c r="L282" s="311"/>
      <c r="M282" s="311"/>
      <c r="N282" s="342"/>
      <c r="O282" s="341">
        <v>1</v>
      </c>
      <c r="P282" s="341"/>
    </row>
    <row r="283" spans="1:16" s="354" customFormat="1" ht="12.75" customHeight="1">
      <c r="A283" s="336">
        <f t="shared" si="6"/>
        <v>282</v>
      </c>
      <c r="B283" s="336" t="s">
        <v>2386</v>
      </c>
      <c r="C283" s="336">
        <v>0</v>
      </c>
      <c r="D283" s="336">
        <v>417</v>
      </c>
      <c r="E283" s="341">
        <f ca="1">VLOOKUP( Aop!$A283, Aop!$A$2:$P$456, ID_Jezik +10, 1)</f>
        <v>0</v>
      </c>
      <c r="F283" s="336" t="str">
        <f ca="1">REPT( "  ", Aop!$C283) &amp; VLOOKUP( Aop!$A283, Aop!$A$2:$P$456, ID_Jezik + 6, 1)</f>
        <v>Dio ukupne dobiti/gubitka koji pripada većinskim vlasnicima</v>
      </c>
      <c r="G283" s="310" t="s">
        <v>2811</v>
      </c>
      <c r="H283" s="318" t="s">
        <v>2802</v>
      </c>
      <c r="I283" s="343" t="s">
        <v>610</v>
      </c>
      <c r="J283" s="378" t="s">
        <v>914</v>
      </c>
      <c r="K283" s="311"/>
      <c r="L283" s="311"/>
      <c r="M283" s="311"/>
      <c r="N283" s="342"/>
      <c r="O283" s="341">
        <v>1</v>
      </c>
      <c r="P283" s="341"/>
    </row>
    <row r="284" spans="1:16" s="354" customFormat="1" ht="12.75" customHeight="1">
      <c r="A284" s="336">
        <f t="shared" si="6"/>
        <v>283</v>
      </c>
      <c r="B284" s="336" t="s">
        <v>2386</v>
      </c>
      <c r="C284" s="336">
        <v>0</v>
      </c>
      <c r="D284" s="336">
        <v>418</v>
      </c>
      <c r="E284" s="341">
        <f ca="1">VLOOKUP( Aop!$A284, Aop!$A$2:$P$456, ID_Jezik +10, 1)</f>
        <v>0</v>
      </c>
      <c r="F284" s="336" t="str">
        <f ca="1">REPT( "  ", Aop!$C284) &amp; VLOOKUP( Aop!$A284, Aop!$A$2:$P$456, ID_Jezik + 6, 1)</f>
        <v>Dio ukupne dobiti/gubitka koji pripada manjinskim vlasnicima</v>
      </c>
      <c r="G284" s="310" t="s">
        <v>2812</v>
      </c>
      <c r="H284" s="318" t="s">
        <v>2990</v>
      </c>
      <c r="I284" s="343" t="s">
        <v>611</v>
      </c>
      <c r="J284" s="378" t="s">
        <v>915</v>
      </c>
      <c r="K284" s="311"/>
      <c r="L284" s="311"/>
      <c r="M284" s="311"/>
      <c r="N284" s="342"/>
      <c r="O284" s="341">
        <v>1</v>
      </c>
      <c r="P284" s="341"/>
    </row>
    <row r="285" spans="1:16" s="354" customFormat="1" ht="32.25" customHeight="1">
      <c r="A285" s="336">
        <f t="shared" si="6"/>
        <v>284</v>
      </c>
      <c r="B285" s="336" t="s">
        <v>1537</v>
      </c>
      <c r="C285" s="336">
        <v>0</v>
      </c>
      <c r="D285" s="336">
        <v>501</v>
      </c>
      <c r="E285" s="341" t="str">
        <f ca="1">VLOOKUP( Aop!$A285, Aop!$A$2:$P$456, ID_Jezik +10, 1)</f>
        <v>A_x000D_
I</v>
      </c>
      <c r="F285" s="364" t="str">
        <f ca="1">REPT( "  ", Aop!$C285) &amp; VLOOKUP( Aop!$A285, Aop!$A$2:$P$456, ID_Jezik + 6, 1)</f>
        <v>TOKOVI GOTOVINE IZ POSLOVNIH AKTIVNOSTI 
Prilivi gotovine iz poslovne aktivnosti (502 do 505)</v>
      </c>
      <c r="G285" s="466" t="s">
        <v>612</v>
      </c>
      <c r="H285" s="313" t="s">
        <v>566</v>
      </c>
      <c r="I285" s="339" t="s">
        <v>39</v>
      </c>
      <c r="J285" s="378" t="s">
        <v>314</v>
      </c>
      <c r="K285" s="311" t="s">
        <v>1235</v>
      </c>
      <c r="L285" s="311" t="s">
        <v>1221</v>
      </c>
      <c r="M285" s="311" t="s">
        <v>1235</v>
      </c>
      <c r="N285" s="340" t="s">
        <v>260</v>
      </c>
      <c r="O285" s="341">
        <v>1</v>
      </c>
      <c r="P285" s="341"/>
    </row>
    <row r="286" spans="1:16" s="354" customFormat="1" ht="12.75" customHeight="1">
      <c r="A286" s="336">
        <f t="shared" si="6"/>
        <v>285</v>
      </c>
      <c r="B286" s="336" t="s">
        <v>1537</v>
      </c>
      <c r="C286" s="336">
        <v>2</v>
      </c>
      <c r="D286" s="336">
        <v>502</v>
      </c>
      <c r="E286" s="341" t="str">
        <f ca="1">VLOOKUP( Aop!$A286, Aop!$A$2:$P$456, ID_Jezik +10, 1)</f>
        <v>1</v>
      </c>
      <c r="F286" s="336" t="str">
        <f ca="1">REPT( "  ", Aop!$C286) &amp; VLOOKUP( Aop!$A286, Aop!$A$2:$P$456, ID_Jezik + 6, 1)</f>
        <v xml:space="preserve">    Prilivi od kupaca i primljeni avansi u zemlji</v>
      </c>
      <c r="G286" s="310" t="s">
        <v>1277</v>
      </c>
      <c r="H286" s="309" t="s">
        <v>1249</v>
      </c>
      <c r="I286" s="310" t="s">
        <v>1556</v>
      </c>
      <c r="J286" s="378" t="s">
        <v>916</v>
      </c>
      <c r="K286" s="311" t="s">
        <v>2140</v>
      </c>
      <c r="L286" s="311">
        <v>1</v>
      </c>
      <c r="M286" s="311" t="s">
        <v>2140</v>
      </c>
      <c r="N286" s="340" t="s">
        <v>2089</v>
      </c>
      <c r="O286" s="341"/>
      <c r="P286" s="341"/>
    </row>
    <row r="287" spans="1:16" s="354" customFormat="1" ht="12.75" customHeight="1">
      <c r="A287" s="336">
        <f t="shared" ref="A287:A294" si="7">ROW()-ROW($A$1)</f>
        <v>286</v>
      </c>
      <c r="B287" s="336" t="s">
        <v>1537</v>
      </c>
      <c r="C287" s="336">
        <v>2</v>
      </c>
      <c r="D287" s="336">
        <v>503</v>
      </c>
      <c r="E287" s="341" t="str">
        <f ca="1">VLOOKUP( Aop!$A287, Aop!$A$2:$P$456, ID_Jezik +10, 1)</f>
        <v>2</v>
      </c>
      <c r="F287" s="336" t="str">
        <f ca="1">REPT( "  ", Aop!$C287) &amp; VLOOKUP( Aop!$A287, Aop!$A$2:$P$456, ID_Jezik + 6, 1)</f>
        <v xml:space="preserve">    Prilivi od kupaca i primljeni avansi u inostranstvu</v>
      </c>
      <c r="G287" s="310" t="s">
        <v>1278</v>
      </c>
      <c r="H287" s="309" t="s">
        <v>1250</v>
      </c>
      <c r="I287" s="310" t="s">
        <v>1557</v>
      </c>
      <c r="J287" s="378" t="s">
        <v>917</v>
      </c>
      <c r="K287" s="311" t="s">
        <v>1236</v>
      </c>
      <c r="L287" s="311">
        <v>2</v>
      </c>
      <c r="M287" s="311" t="s">
        <v>1236</v>
      </c>
      <c r="N287" s="340" t="s">
        <v>2090</v>
      </c>
      <c r="O287" s="341"/>
      <c r="P287" s="341"/>
    </row>
    <row r="288" spans="1:16" s="354" customFormat="1" ht="12.75" customHeight="1">
      <c r="A288" s="336">
        <f t="shared" si="7"/>
        <v>287</v>
      </c>
      <c r="B288" s="336" t="s">
        <v>1537</v>
      </c>
      <c r="C288" s="336">
        <v>2</v>
      </c>
      <c r="D288" s="336">
        <v>504</v>
      </c>
      <c r="E288" s="341" t="str">
        <f ca="1">VLOOKUP( Aop!$A288, Aop!$A$2:$P$456, ID_Jezik +10, 1)</f>
        <v>3</v>
      </c>
      <c r="F288" s="336" t="str">
        <f ca="1">REPT( "  ", Aop!$C288) &amp; VLOOKUP( Aop!$A288, Aop!$A$2:$P$456, ID_Jezik + 6, 1)</f>
        <v xml:space="preserve">    Prilivi od premija, subvencija, dotacija i sl.</v>
      </c>
      <c r="G288" s="310" t="s">
        <v>1279</v>
      </c>
      <c r="H288" s="309" t="s">
        <v>1251</v>
      </c>
      <c r="I288" s="310" t="s">
        <v>1558</v>
      </c>
      <c r="J288" s="378" t="s">
        <v>918</v>
      </c>
      <c r="K288" s="311" t="s">
        <v>2426</v>
      </c>
      <c r="L288" s="311">
        <v>3</v>
      </c>
      <c r="M288" s="311" t="s">
        <v>2426</v>
      </c>
      <c r="N288" s="340" t="s">
        <v>2091</v>
      </c>
      <c r="O288" s="341"/>
      <c r="P288" s="341"/>
    </row>
    <row r="289" spans="1:16" s="354" customFormat="1" ht="12.75" customHeight="1">
      <c r="A289" s="336">
        <f t="shared" si="7"/>
        <v>288</v>
      </c>
      <c r="B289" s="336" t="s">
        <v>1537</v>
      </c>
      <c r="C289" s="336">
        <v>2</v>
      </c>
      <c r="D289" s="336">
        <v>505</v>
      </c>
      <c r="E289" s="341" t="str">
        <f ca="1">VLOOKUP( Aop!$A289, Aop!$A$2:$P$456, ID_Jezik +10, 1)</f>
        <v>4</v>
      </c>
      <c r="F289" s="336" t="str">
        <f ca="1">REPT( "  ", Aop!$C289) &amp; VLOOKUP( Aop!$A289, Aop!$A$2:$P$456, ID_Jezik + 6, 1)</f>
        <v xml:space="preserve">    Ostali prilivi iz poslovnih aktivnosti</v>
      </c>
      <c r="G289" s="310" t="s">
        <v>1280</v>
      </c>
      <c r="H289" s="309" t="s">
        <v>1252</v>
      </c>
      <c r="I289" s="310" t="s">
        <v>1559</v>
      </c>
      <c r="J289" s="378" t="s">
        <v>919</v>
      </c>
      <c r="K289" s="311" t="s">
        <v>2455</v>
      </c>
      <c r="L289" s="311">
        <v>4</v>
      </c>
      <c r="M289" s="311" t="s">
        <v>2455</v>
      </c>
      <c r="N289" s="340" t="s">
        <v>2092</v>
      </c>
      <c r="O289" s="341"/>
      <c r="P289" s="341"/>
    </row>
    <row r="290" spans="1:16" s="354" customFormat="1" ht="12.75" customHeight="1">
      <c r="A290" s="336">
        <f t="shared" si="7"/>
        <v>289</v>
      </c>
      <c r="B290" s="336" t="s">
        <v>1537</v>
      </c>
      <c r="C290" s="336">
        <v>2</v>
      </c>
      <c r="D290" s="336">
        <v>506</v>
      </c>
      <c r="E290" s="341" t="str">
        <f ca="1">VLOOKUP( Aop!$A290, Aop!$A$2:$P$456, ID_Jezik +10, 1)</f>
        <v>II</v>
      </c>
      <c r="F290" s="336" t="str">
        <f ca="1">REPT( "  ", Aop!$C290) &amp; VLOOKUP( Aop!$A290, Aop!$A$2:$P$456, ID_Jezik + 6, 1)</f>
        <v xml:space="preserve">    Odlivi gotovine iz poslovnih aktivnosti (507 do 512)</v>
      </c>
      <c r="G290" s="310" t="s">
        <v>1281</v>
      </c>
      <c r="H290" s="309" t="s">
        <v>1253</v>
      </c>
      <c r="I290" s="310" t="s">
        <v>1560</v>
      </c>
      <c r="J290" s="378" t="s">
        <v>920</v>
      </c>
      <c r="K290" s="311" t="s">
        <v>1222</v>
      </c>
      <c r="L290" s="311" t="s">
        <v>1222</v>
      </c>
      <c r="M290" s="311" t="s">
        <v>1222</v>
      </c>
      <c r="N290" s="340" t="s">
        <v>1222</v>
      </c>
      <c r="O290" s="341"/>
      <c r="P290" s="341"/>
    </row>
    <row r="291" spans="1:16" s="354" customFormat="1" ht="12.75" customHeight="1">
      <c r="A291" s="336">
        <f t="shared" si="7"/>
        <v>290</v>
      </c>
      <c r="B291" s="336" t="s">
        <v>1537</v>
      </c>
      <c r="C291" s="336">
        <v>2</v>
      </c>
      <c r="D291" s="336">
        <v>507</v>
      </c>
      <c r="E291" s="341" t="str">
        <f ca="1">VLOOKUP( Aop!$A291, Aop!$A$2:$P$456, ID_Jezik +10, 1)</f>
        <v>1</v>
      </c>
      <c r="F291" s="336" t="str">
        <f ca="1">REPT( "  ", Aop!$C291) &amp; VLOOKUP( Aop!$A291, Aop!$A$2:$P$456, ID_Jezik + 6, 1)</f>
        <v xml:space="preserve">    Odlivi po osnovu isplata dobavljačima i dati avansi u zemlji</v>
      </c>
      <c r="G291" s="310" t="s">
        <v>1282</v>
      </c>
      <c r="H291" s="309" t="s">
        <v>1254</v>
      </c>
      <c r="I291" s="310" t="s">
        <v>1561</v>
      </c>
      <c r="J291" s="378" t="s">
        <v>921</v>
      </c>
      <c r="K291" s="311" t="s">
        <v>2140</v>
      </c>
      <c r="L291" s="311">
        <v>1</v>
      </c>
      <c r="M291" s="311" t="s">
        <v>2140</v>
      </c>
      <c r="N291" s="340" t="s">
        <v>2089</v>
      </c>
      <c r="O291" s="341"/>
      <c r="P291" s="341"/>
    </row>
    <row r="292" spans="1:16" s="354" customFormat="1" ht="12.75" customHeight="1">
      <c r="A292" s="336">
        <f t="shared" si="7"/>
        <v>291</v>
      </c>
      <c r="B292" s="336" t="s">
        <v>1537</v>
      </c>
      <c r="C292" s="336">
        <v>2</v>
      </c>
      <c r="D292" s="336">
        <v>508</v>
      </c>
      <c r="E292" s="341" t="str">
        <f ca="1">VLOOKUP( Aop!$A292, Aop!$A$2:$P$456, ID_Jezik +10, 1)</f>
        <v>2</v>
      </c>
      <c r="F292" s="336" t="str">
        <f ca="1">REPT( "  ", Aop!$C292) &amp; VLOOKUP( Aop!$A292, Aop!$A$2:$P$456, ID_Jezik + 6, 1)</f>
        <v xml:space="preserve">    Odlivi po osnovu isplata dobavljačima i dati avansi u inostranstvu</v>
      </c>
      <c r="G292" s="310" t="s">
        <v>1283</v>
      </c>
      <c r="H292" s="309" t="s">
        <v>1255</v>
      </c>
      <c r="I292" s="310" t="s">
        <v>1562</v>
      </c>
      <c r="J292" s="378" t="s">
        <v>922</v>
      </c>
      <c r="K292" s="311" t="s">
        <v>1236</v>
      </c>
      <c r="L292" s="311">
        <v>2</v>
      </c>
      <c r="M292" s="311" t="s">
        <v>1236</v>
      </c>
      <c r="N292" s="340" t="s">
        <v>2090</v>
      </c>
      <c r="O292" s="341"/>
      <c r="P292" s="341"/>
    </row>
    <row r="293" spans="1:16" s="354" customFormat="1" ht="12.75" customHeight="1">
      <c r="A293" s="336">
        <f t="shared" si="7"/>
        <v>292</v>
      </c>
      <c r="B293" s="336" t="s">
        <v>1537</v>
      </c>
      <c r="C293" s="336">
        <v>2</v>
      </c>
      <c r="D293" s="336">
        <v>509</v>
      </c>
      <c r="E293" s="341" t="str">
        <f ca="1">VLOOKUP( Aop!$A293, Aop!$A$2:$P$456, ID_Jezik +10, 1)</f>
        <v>3</v>
      </c>
      <c r="F293" s="336" t="str">
        <f ca="1">REPT( "  ", Aop!$C293) &amp; VLOOKUP( Aop!$A293, Aop!$A$2:$P$456, ID_Jezik + 6, 1)</f>
        <v xml:space="preserve">    Odlivi po osnovu plaćenih kamata</v>
      </c>
      <c r="G293" s="310" t="s">
        <v>1284</v>
      </c>
      <c r="H293" s="309" t="s">
        <v>1256</v>
      </c>
      <c r="I293" s="310" t="s">
        <v>1563</v>
      </c>
      <c r="J293" s="378" t="s">
        <v>923</v>
      </c>
      <c r="K293" s="311" t="s">
        <v>2426</v>
      </c>
      <c r="L293" s="311">
        <v>3</v>
      </c>
      <c r="M293" s="311" t="s">
        <v>2426</v>
      </c>
      <c r="N293" s="340" t="s">
        <v>2091</v>
      </c>
      <c r="O293" s="341"/>
      <c r="P293" s="341"/>
    </row>
    <row r="294" spans="1:16" s="354" customFormat="1" ht="12.75" customHeight="1">
      <c r="A294" s="336">
        <f t="shared" si="7"/>
        <v>293</v>
      </c>
      <c r="B294" s="336" t="s">
        <v>1537</v>
      </c>
      <c r="C294" s="336">
        <v>2</v>
      </c>
      <c r="D294" s="336">
        <v>510</v>
      </c>
      <c r="E294" s="341" t="str">
        <f ca="1">VLOOKUP( Aop!$A294, Aop!$A$2:$P$456, ID_Jezik +10, 1)</f>
        <v>4</v>
      </c>
      <c r="F294" s="336" t="str">
        <f ca="1">REPT( "  ", Aop!$C294) &amp; VLOOKUP( Aop!$A294, Aop!$A$2:$P$456, ID_Jezik + 6, 1)</f>
        <v xml:space="preserve">    Odlivi po osnovu isplata zarada, naknada zarada i ostalih ličnih rashoda</v>
      </c>
      <c r="G294" s="310" t="s">
        <v>1285</v>
      </c>
      <c r="H294" s="309" t="s">
        <v>1257</v>
      </c>
      <c r="I294" s="310" t="s">
        <v>1564</v>
      </c>
      <c r="J294" s="378" t="s">
        <v>924</v>
      </c>
      <c r="K294" s="311" t="s">
        <v>2455</v>
      </c>
      <c r="L294" s="311">
        <v>4</v>
      </c>
      <c r="M294" s="311" t="s">
        <v>2455</v>
      </c>
      <c r="N294" s="340" t="s">
        <v>2092</v>
      </c>
      <c r="O294" s="341"/>
      <c r="P294" s="341"/>
    </row>
    <row r="295" spans="1:16" s="354" customFormat="1" ht="12.75" customHeight="1">
      <c r="A295" s="336">
        <f t="shared" ref="A295:A311" si="8">ROW()-ROW($A$1)</f>
        <v>294</v>
      </c>
      <c r="B295" s="336" t="s">
        <v>1537</v>
      </c>
      <c r="C295" s="336">
        <v>2</v>
      </c>
      <c r="D295" s="336">
        <v>511</v>
      </c>
      <c r="E295" s="341" t="str">
        <f ca="1">VLOOKUP( Aop!$A295, Aop!$A$2:$P$456, ID_Jezik +10, 1)</f>
        <v>5</v>
      </c>
      <c r="F295" s="336" t="str">
        <f ca="1">REPT( "  ", Aop!$C295) &amp; VLOOKUP( Aop!$A295, Aop!$A$2:$P$456, ID_Jezik + 6, 1)</f>
        <v xml:space="preserve">    Odlivi po osnovu poreza na dobit</v>
      </c>
      <c r="G295" s="310" t="s">
        <v>1286</v>
      </c>
      <c r="H295" s="309" t="s">
        <v>1258</v>
      </c>
      <c r="I295" s="310" t="s">
        <v>1565</v>
      </c>
      <c r="J295" s="378" t="s">
        <v>925</v>
      </c>
      <c r="K295" s="311" t="s">
        <v>2456</v>
      </c>
      <c r="L295" s="311">
        <v>5</v>
      </c>
      <c r="M295" s="311" t="s">
        <v>2456</v>
      </c>
      <c r="N295" s="340" t="s">
        <v>2093</v>
      </c>
      <c r="O295" s="341"/>
      <c r="P295" s="341"/>
    </row>
    <row r="296" spans="1:16" s="354" customFormat="1" ht="12.75" customHeight="1">
      <c r="A296" s="336">
        <f t="shared" si="8"/>
        <v>295</v>
      </c>
      <c r="B296" s="336" t="s">
        <v>1537</v>
      </c>
      <c r="C296" s="336">
        <v>2</v>
      </c>
      <c r="D296" s="336">
        <v>512</v>
      </c>
      <c r="E296" s="341" t="str">
        <f ca="1">VLOOKUP( Aop!$A296, Aop!$A$2:$P$456, ID_Jezik +10, 1)</f>
        <v>6</v>
      </c>
      <c r="F296" s="336" t="str">
        <f ca="1">REPT( "  ", Aop!$C296) &amp; VLOOKUP( Aop!$A296, Aop!$A$2:$P$456, ID_Jezik + 6, 1)</f>
        <v xml:space="preserve">    Ostali odlivi iz poslovnih aktivnosti</v>
      </c>
      <c r="G296" s="310" t="s">
        <v>1287</v>
      </c>
      <c r="H296" s="309" t="s">
        <v>1259</v>
      </c>
      <c r="I296" s="310" t="s">
        <v>1566</v>
      </c>
      <c r="J296" s="378" t="s">
        <v>926</v>
      </c>
      <c r="K296" s="311" t="s">
        <v>2457</v>
      </c>
      <c r="L296" s="311">
        <v>6</v>
      </c>
      <c r="M296" s="311" t="s">
        <v>2457</v>
      </c>
      <c r="N296" s="340" t="s">
        <v>2094</v>
      </c>
      <c r="O296" s="341"/>
      <c r="P296" s="341"/>
    </row>
    <row r="297" spans="1:16" s="354" customFormat="1" ht="12.75" customHeight="1">
      <c r="A297" s="336">
        <f t="shared" si="8"/>
        <v>296</v>
      </c>
      <c r="B297" s="336" t="s">
        <v>1537</v>
      </c>
      <c r="C297" s="336">
        <v>1</v>
      </c>
      <c r="D297" s="336">
        <v>513</v>
      </c>
      <c r="E297" s="341" t="str">
        <f ca="1">VLOOKUP( Aop!$A297, Aop!$A$2:$P$456, ID_Jezik +10, 1)</f>
        <v>III</v>
      </c>
      <c r="F297" s="336" t="str">
        <f ca="1">REPT( "  ", Aop!$C297) &amp; VLOOKUP( Aop!$A297, Aop!$A$2:$P$456, ID_Jezik + 6, 1)</f>
        <v xml:space="preserve">  Neto priliv gotovine iz poslovnih aktivnosti (501 – 506)</v>
      </c>
      <c r="G297" s="310" t="s">
        <v>1288</v>
      </c>
      <c r="H297" s="309" t="s">
        <v>1260</v>
      </c>
      <c r="I297" s="310" t="s">
        <v>1567</v>
      </c>
      <c r="J297" s="378" t="s">
        <v>927</v>
      </c>
      <c r="K297" s="311" t="s">
        <v>1223</v>
      </c>
      <c r="L297" s="311" t="s">
        <v>1223</v>
      </c>
      <c r="M297" s="311" t="s">
        <v>1223</v>
      </c>
      <c r="N297" s="340" t="s">
        <v>1223</v>
      </c>
      <c r="O297" s="341">
        <v>1</v>
      </c>
      <c r="P297" s="341"/>
    </row>
    <row r="298" spans="1:16" s="354" customFormat="1" ht="12.75" customHeight="1">
      <c r="A298" s="336">
        <f t="shared" si="8"/>
        <v>297</v>
      </c>
      <c r="B298" s="336" t="s">
        <v>1537</v>
      </c>
      <c r="C298" s="336">
        <v>1</v>
      </c>
      <c r="D298" s="336">
        <v>514</v>
      </c>
      <c r="E298" s="341" t="str">
        <f ca="1">VLOOKUP( Aop!$A298, Aop!$A$2:$P$456, ID_Jezik +10, 1)</f>
        <v>IV</v>
      </c>
      <c r="F298" s="336" t="str">
        <f ca="1">REPT( "  ", Aop!$C298) &amp; VLOOKUP( Aop!$A298, Aop!$A$2:$P$456, ID_Jezik + 6, 1)</f>
        <v xml:space="preserve">  Neto odliv gotovine iz poslovnih aktivnosti (506 – 501)</v>
      </c>
      <c r="G298" s="310" t="s">
        <v>1289</v>
      </c>
      <c r="H298" s="309" t="s">
        <v>1261</v>
      </c>
      <c r="I298" s="310" t="s">
        <v>1568</v>
      </c>
      <c r="J298" s="378" t="s">
        <v>928</v>
      </c>
      <c r="K298" s="311" t="s">
        <v>1224</v>
      </c>
      <c r="L298" s="311" t="s">
        <v>1224</v>
      </c>
      <c r="M298" s="311" t="s">
        <v>1224</v>
      </c>
      <c r="N298" s="340" t="s">
        <v>1224</v>
      </c>
      <c r="O298" s="341">
        <v>1</v>
      </c>
      <c r="P298" s="341"/>
    </row>
    <row r="299" spans="1:16" s="354" customFormat="1" ht="12.75" customHeight="1">
      <c r="A299" s="336">
        <f t="shared" si="8"/>
        <v>298</v>
      </c>
      <c r="B299" s="336" t="s">
        <v>1537</v>
      </c>
      <c r="C299" s="336">
        <v>0</v>
      </c>
      <c r="D299" s="336">
        <v>515</v>
      </c>
      <c r="E299" s="341" t="str">
        <f ca="1">VLOOKUP( Aop!$A299, Aop!$A$2:$P$456, ID_Jezik +10, 1)</f>
        <v>B_x000D_
I</v>
      </c>
      <c r="F299" s="364" t="str">
        <f ca="1">REPT( "  ", Aop!$C299) &amp; VLOOKUP( Aop!$A299, Aop!$A$2:$P$456, ID_Jezik + 6, 1)</f>
        <v>TOKOVI GOTOVINE IZ AKTIVNOSTI INVESTIRANJA
Prilivi gotovine iz aktivnosti investiranja (516 do 530)</v>
      </c>
      <c r="G299" s="466" t="s">
        <v>13</v>
      </c>
      <c r="H299" s="309" t="s">
        <v>1262</v>
      </c>
      <c r="I299" s="339" t="s">
        <v>3</v>
      </c>
      <c r="J299" s="378" t="s">
        <v>313</v>
      </c>
      <c r="K299" s="311" t="s">
        <v>1237</v>
      </c>
      <c r="L299" s="311" t="s">
        <v>1225</v>
      </c>
      <c r="M299" s="311" t="s">
        <v>1237</v>
      </c>
      <c r="N299" s="340" t="s">
        <v>261</v>
      </c>
      <c r="O299" s="341">
        <v>1</v>
      </c>
      <c r="P299" s="341"/>
    </row>
    <row r="300" spans="1:16" s="354" customFormat="1" ht="12.75" customHeight="1">
      <c r="A300" s="336">
        <f t="shared" si="8"/>
        <v>299</v>
      </c>
      <c r="B300" s="336" t="s">
        <v>1537</v>
      </c>
      <c r="C300" s="336">
        <v>2</v>
      </c>
      <c r="D300" s="336">
        <v>516</v>
      </c>
      <c r="E300" s="341" t="str">
        <f ca="1">VLOOKUP( Aop!$A300, Aop!$A$2:$P$456, ID_Jezik +10, 1)</f>
        <v>1</v>
      </c>
      <c r="F300" s="336" t="str">
        <f ca="1">REPT( "  ", Aop!$C300) &amp; VLOOKUP( Aop!$A300, Aop!$A$2:$P$456, ID_Jezik + 6, 1)</f>
        <v xml:space="preserve">    Prilivi gotovine po osnovu prodaje akcija i udjela zavisnih i pridruženih društava i zajedničkih poduhvata</v>
      </c>
      <c r="G300" s="310" t="s">
        <v>1290</v>
      </c>
      <c r="H300" s="309" t="s">
        <v>1263</v>
      </c>
      <c r="I300" s="310" t="s">
        <v>1569</v>
      </c>
      <c r="J300" s="378" t="s">
        <v>929</v>
      </c>
      <c r="K300" s="311" t="s">
        <v>2140</v>
      </c>
      <c r="L300" s="311">
        <v>1</v>
      </c>
      <c r="M300" s="311" t="s">
        <v>2140</v>
      </c>
      <c r="N300" s="340" t="s">
        <v>2089</v>
      </c>
      <c r="O300" s="341"/>
      <c r="P300" s="341"/>
    </row>
    <row r="301" spans="1:16" s="354" customFormat="1" ht="12.75" customHeight="1">
      <c r="A301" s="336">
        <f t="shared" si="8"/>
        <v>300</v>
      </c>
      <c r="B301" s="336" t="s">
        <v>1537</v>
      </c>
      <c r="C301" s="336">
        <v>2</v>
      </c>
      <c r="D301" s="336">
        <v>517</v>
      </c>
      <c r="E301" s="341" t="str">
        <f ca="1">VLOOKUP( Aop!$A301, Aop!$A$2:$P$456, ID_Jezik +10, 1)</f>
        <v>2</v>
      </c>
      <c r="F301" s="336" t="str">
        <f ca="1">REPT( "  ", Aop!$C301) &amp; VLOOKUP( Aop!$A301, Aop!$A$2:$P$456, ID_Jezik + 6, 1)</f>
        <v xml:space="preserve">    Prilivi po osnovu prodaje nekretnina, postrojenja i opreme</v>
      </c>
      <c r="G301" s="310" t="s">
        <v>1291</v>
      </c>
      <c r="H301" s="309" t="s">
        <v>1264</v>
      </c>
      <c r="I301" s="310" t="s">
        <v>1570</v>
      </c>
      <c r="J301" s="378" t="s">
        <v>930</v>
      </c>
      <c r="K301" s="311" t="s">
        <v>1236</v>
      </c>
      <c r="L301" s="311">
        <v>2</v>
      </c>
      <c r="M301" s="311" t="s">
        <v>1236</v>
      </c>
      <c r="N301" s="340" t="s">
        <v>2090</v>
      </c>
      <c r="O301" s="341"/>
      <c r="P301" s="341"/>
    </row>
    <row r="302" spans="1:16" s="354" customFormat="1" ht="12.75" customHeight="1">
      <c r="A302" s="336">
        <f t="shared" si="8"/>
        <v>301</v>
      </c>
      <c r="B302" s="336" t="s">
        <v>1537</v>
      </c>
      <c r="C302" s="336">
        <v>2</v>
      </c>
      <c r="D302" s="336">
        <v>518</v>
      </c>
      <c r="E302" s="341" t="str">
        <f ca="1">VLOOKUP( Aop!$A302, Aop!$A$2:$P$456, ID_Jezik +10, 1)</f>
        <v>3</v>
      </c>
      <c r="F302" s="336" t="str">
        <f ca="1">REPT( "  ", Aop!$C302) &amp; VLOOKUP( Aop!$A302, Aop!$A$2:$P$456, ID_Jezik + 6, 1)</f>
        <v xml:space="preserve">    Prilivi po osnovu prodaje investicionih nekretnina</v>
      </c>
      <c r="G302" s="310" t="s">
        <v>1292</v>
      </c>
      <c r="H302" s="309" t="s">
        <v>1265</v>
      </c>
      <c r="I302" s="310" t="s">
        <v>1571</v>
      </c>
      <c r="J302" s="378" t="s">
        <v>931</v>
      </c>
      <c r="K302" s="311" t="s">
        <v>2426</v>
      </c>
      <c r="L302" s="311">
        <v>3</v>
      </c>
      <c r="M302" s="311" t="s">
        <v>2426</v>
      </c>
      <c r="N302" s="340" t="s">
        <v>2091</v>
      </c>
      <c r="O302" s="341"/>
      <c r="P302" s="341">
        <v>1</v>
      </c>
    </row>
    <row r="303" spans="1:16" s="354" customFormat="1" ht="12.75" customHeight="1">
      <c r="A303" s="336">
        <f t="shared" si="8"/>
        <v>302</v>
      </c>
      <c r="B303" s="336" t="s">
        <v>1537</v>
      </c>
      <c r="C303" s="336">
        <v>2</v>
      </c>
      <c r="D303" s="336">
        <v>519</v>
      </c>
      <c r="E303" s="341" t="str">
        <f ca="1">VLOOKUP( Aop!$A303, Aop!$A$2:$P$456, ID_Jezik +10, 1)</f>
        <v>4</v>
      </c>
      <c r="F303" s="336" t="str">
        <f ca="1">REPT( "  ", Aop!$C303) &amp; VLOOKUP( Aop!$A303, Aop!$A$2:$P$456, ID_Jezik + 6, 1)</f>
        <v xml:space="preserve">    Prilivi po osnovu prodaje bioloških sredstava</v>
      </c>
      <c r="G303" s="310" t="s">
        <v>1293</v>
      </c>
      <c r="H303" s="309" t="s">
        <v>1266</v>
      </c>
      <c r="I303" s="310" t="s">
        <v>1572</v>
      </c>
      <c r="J303" s="378" t="s">
        <v>1133</v>
      </c>
      <c r="K303" s="311" t="s">
        <v>2455</v>
      </c>
      <c r="L303" s="311">
        <v>4</v>
      </c>
      <c r="M303" s="311" t="s">
        <v>2455</v>
      </c>
      <c r="N303" s="340" t="s">
        <v>2092</v>
      </c>
      <c r="O303" s="341"/>
      <c r="P303" s="341"/>
    </row>
    <row r="304" spans="1:16" s="354" customFormat="1" ht="12.75" customHeight="1">
      <c r="A304" s="336">
        <f t="shared" si="8"/>
        <v>303</v>
      </c>
      <c r="B304" s="336" t="s">
        <v>1537</v>
      </c>
      <c r="C304" s="336">
        <v>2</v>
      </c>
      <c r="D304" s="336">
        <v>520</v>
      </c>
      <c r="E304" s="341" t="str">
        <f ca="1">VLOOKUP( Aop!$A304, Aop!$A$2:$P$456, ID_Jezik +10, 1)</f>
        <v>5</v>
      </c>
      <c r="F304" s="336" t="str">
        <f ca="1">REPT( "  ", Aop!$C304) &amp; VLOOKUP( Aop!$A304, Aop!$A$2:$P$456, ID_Jezik + 6, 1)</f>
        <v xml:space="preserve">    Prilivi po osnovu prodaje nematerijalnih sredstava</v>
      </c>
      <c r="G304" s="310" t="s">
        <v>1294</v>
      </c>
      <c r="H304" s="309" t="s">
        <v>1267</v>
      </c>
      <c r="I304" s="310" t="s">
        <v>1573</v>
      </c>
      <c r="J304" s="378" t="s">
        <v>932</v>
      </c>
      <c r="K304" s="311" t="s">
        <v>2456</v>
      </c>
      <c r="L304" s="311">
        <v>5</v>
      </c>
      <c r="M304" s="311" t="s">
        <v>2456</v>
      </c>
      <c r="N304" s="340" t="s">
        <v>2093</v>
      </c>
      <c r="O304" s="341"/>
      <c r="P304" s="341"/>
    </row>
    <row r="305" spans="1:16" s="354" customFormat="1" ht="12.75" customHeight="1">
      <c r="A305" s="336">
        <f t="shared" si="8"/>
        <v>304</v>
      </c>
      <c r="B305" s="336" t="s">
        <v>1537</v>
      </c>
      <c r="C305" s="336">
        <v>2</v>
      </c>
      <c r="D305" s="336">
        <v>521</v>
      </c>
      <c r="E305" s="341" t="str">
        <f ca="1">VLOOKUP( Aop!$A305, Aop!$A$2:$P$456, ID_Jezik +10, 1)</f>
        <v>6</v>
      </c>
      <c r="F305" s="336" t="str">
        <f ca="1">REPT( "  ", Aop!$C305) &amp; VLOOKUP( Aop!$A305, Aop!$A$2:$P$456, ID_Jezik + 6, 1)</f>
        <v xml:space="preserve">    Prilivi po osnovu prodaje stalnih sredstava namijenjenih prodaji</v>
      </c>
      <c r="G305" s="310" t="s">
        <v>1295</v>
      </c>
      <c r="H305" s="309" t="s">
        <v>1268</v>
      </c>
      <c r="I305" s="326" t="s">
        <v>1574</v>
      </c>
      <c r="J305" s="378" t="s">
        <v>933</v>
      </c>
      <c r="K305" s="311" t="s">
        <v>2457</v>
      </c>
      <c r="L305" s="311">
        <v>6</v>
      </c>
      <c r="M305" s="311" t="s">
        <v>2457</v>
      </c>
      <c r="N305" s="340" t="s">
        <v>2094</v>
      </c>
      <c r="O305" s="341"/>
      <c r="P305" s="341"/>
    </row>
    <row r="306" spans="1:16" s="354" customFormat="1" ht="12.75" customHeight="1">
      <c r="A306" s="336">
        <f t="shared" si="8"/>
        <v>305</v>
      </c>
      <c r="B306" s="336" t="s">
        <v>1537</v>
      </c>
      <c r="C306" s="336">
        <v>2</v>
      </c>
      <c r="D306" s="336">
        <v>522</v>
      </c>
      <c r="E306" s="341" t="str">
        <f ca="1">VLOOKUP( Aop!$A306, Aop!$A$2:$P$456, ID_Jezik +10, 1)</f>
        <v>7</v>
      </c>
      <c r="F306" s="336" t="str">
        <f ca="1">REPT( "  ", Aop!$C306) &amp; VLOOKUP( Aop!$A306, Aop!$A$2:$P$456, ID_Jezik + 6, 1)</f>
        <v xml:space="preserve">    Prilivi od finansijskih sredstava po fer vrijednosti kroz ostali ukupni rezultat</v>
      </c>
      <c r="G306" s="310" t="s">
        <v>1296</v>
      </c>
      <c r="H306" s="309" t="s">
        <v>1269</v>
      </c>
      <c r="I306" s="326" t="s">
        <v>1575</v>
      </c>
      <c r="J306" s="378" t="s">
        <v>934</v>
      </c>
      <c r="K306" s="311" t="s">
        <v>2458</v>
      </c>
      <c r="L306" s="311">
        <v>7</v>
      </c>
      <c r="M306" s="311" t="s">
        <v>2458</v>
      </c>
      <c r="N306" s="340" t="s">
        <v>2095</v>
      </c>
      <c r="O306" s="341"/>
      <c r="P306" s="341"/>
    </row>
    <row r="307" spans="1:16" s="354" customFormat="1" ht="12.75" customHeight="1">
      <c r="A307" s="336">
        <f t="shared" si="8"/>
        <v>306</v>
      </c>
      <c r="B307" s="336" t="s">
        <v>1537</v>
      </c>
      <c r="C307" s="336">
        <v>2</v>
      </c>
      <c r="D307" s="336">
        <v>523</v>
      </c>
      <c r="E307" s="341" t="str">
        <f ca="1">VLOOKUP( Aop!$A307, Aop!$A$2:$P$456, ID_Jezik +10, 1)</f>
        <v>8</v>
      </c>
      <c r="F307" s="336" t="str">
        <f ca="1">REPT( "  ", Aop!$C307) &amp; VLOOKUP( Aop!$A307, Aop!$A$2:$P$456, ID_Jezik + 6, 1)</f>
        <v xml:space="preserve">    Prilivi od finansijskih sredstva po fer vrijednosti kroz bilans uspjeha</v>
      </c>
      <c r="G307" s="310" t="s">
        <v>1297</v>
      </c>
      <c r="H307" s="309" t="s">
        <v>1270</v>
      </c>
      <c r="I307" s="326" t="s">
        <v>1576</v>
      </c>
      <c r="J307" s="378" t="s">
        <v>935</v>
      </c>
      <c r="K307" s="311" t="s">
        <v>2459</v>
      </c>
      <c r="L307" s="311">
        <v>8</v>
      </c>
      <c r="M307" s="311" t="s">
        <v>2459</v>
      </c>
      <c r="N307" s="340" t="s">
        <v>2096</v>
      </c>
      <c r="O307" s="341"/>
      <c r="P307" s="341"/>
    </row>
    <row r="308" spans="1:16" s="354" customFormat="1" ht="12.75" customHeight="1">
      <c r="A308" s="336">
        <f t="shared" si="8"/>
        <v>307</v>
      </c>
      <c r="B308" s="336" t="s">
        <v>1537</v>
      </c>
      <c r="C308" s="336">
        <v>2</v>
      </c>
      <c r="D308" s="336">
        <v>524</v>
      </c>
      <c r="E308" s="341" t="str">
        <f ca="1">VLOOKUP( Aop!$A308, Aop!$A$2:$P$456, ID_Jezik +10, 1)</f>
        <v>9</v>
      </c>
      <c r="F308" s="336" t="str">
        <f ca="1">REPT( "  ", Aop!$C308) &amp; VLOOKUP( Aop!$A308, Aop!$A$2:$P$456, ID_Jezik + 6, 1)</f>
        <v xml:space="preserve">    Prilivi od ostalih finansijskih sredstava po amortizovanoj vrijednosti</v>
      </c>
      <c r="G308" s="310" t="s">
        <v>1298</v>
      </c>
      <c r="H308" s="309" t="s">
        <v>1271</v>
      </c>
      <c r="I308" s="326" t="s">
        <v>1577</v>
      </c>
      <c r="J308" s="378" t="s">
        <v>936</v>
      </c>
      <c r="K308" s="311" t="s">
        <v>2460</v>
      </c>
      <c r="L308" s="311">
        <v>9</v>
      </c>
      <c r="M308" s="311" t="s">
        <v>2460</v>
      </c>
      <c r="N308" s="340" t="s">
        <v>2097</v>
      </c>
      <c r="O308" s="341"/>
      <c r="P308" s="341"/>
    </row>
    <row r="309" spans="1:16" s="354" customFormat="1" ht="12.75" customHeight="1">
      <c r="A309" s="336">
        <f t="shared" si="8"/>
        <v>308</v>
      </c>
      <c r="B309" s="336" t="s">
        <v>1537</v>
      </c>
      <c r="C309" s="336">
        <v>2</v>
      </c>
      <c r="D309" s="336">
        <v>525</v>
      </c>
      <c r="E309" s="341" t="str">
        <f ca="1">VLOOKUP( Aop!$A309, Aop!$A$2:$P$456, ID_Jezik +10, 1)</f>
        <v>10</v>
      </c>
      <c r="F309" s="336" t="str">
        <f ca="1">REPT( "  ", Aop!$C309) &amp; VLOOKUP( Aop!$A309, Aop!$A$2:$P$456, ID_Jezik + 6, 1)</f>
        <v xml:space="preserve">    Prilivi po osnovu lizinga (glavnica)</v>
      </c>
      <c r="G309" s="310" t="s">
        <v>1299</v>
      </c>
      <c r="H309" s="309" t="s">
        <v>1272</v>
      </c>
      <c r="I309" s="326" t="s">
        <v>1578</v>
      </c>
      <c r="J309" s="378" t="s">
        <v>937</v>
      </c>
      <c r="K309" s="311" t="s">
        <v>2461</v>
      </c>
      <c r="L309" s="311">
        <v>10</v>
      </c>
      <c r="M309" s="311" t="s">
        <v>2461</v>
      </c>
      <c r="N309" s="340" t="s">
        <v>2098</v>
      </c>
      <c r="O309" s="341"/>
      <c r="P309" s="341">
        <v>1</v>
      </c>
    </row>
    <row r="310" spans="1:16" s="354" customFormat="1" ht="12.75" customHeight="1">
      <c r="A310" s="336">
        <f t="shared" si="8"/>
        <v>309</v>
      </c>
      <c r="B310" s="336" t="s">
        <v>1537</v>
      </c>
      <c r="C310" s="336">
        <v>2</v>
      </c>
      <c r="D310" s="336">
        <v>526</v>
      </c>
      <c r="E310" s="341" t="str">
        <f ca="1">VLOOKUP( Aop!$A310, Aop!$A$2:$P$456, ID_Jezik +10, 1)</f>
        <v>11</v>
      </c>
      <c r="F310" s="336" t="str">
        <f ca="1">REPT( "  ", Aop!$C310) &amp; VLOOKUP( Aop!$A310, Aop!$A$2:$P$456, ID_Jezik + 6, 1)</f>
        <v xml:space="preserve">    Prilivi po osnovu lizinga (kamata)</v>
      </c>
      <c r="G310" s="310" t="s">
        <v>1300</v>
      </c>
      <c r="H310" s="309" t="s">
        <v>1273</v>
      </c>
      <c r="I310" s="326" t="s">
        <v>1579</v>
      </c>
      <c r="J310" s="378" t="s">
        <v>938</v>
      </c>
      <c r="K310" s="311" t="s">
        <v>2905</v>
      </c>
      <c r="L310" s="311">
        <v>11</v>
      </c>
      <c r="M310" s="311" t="s">
        <v>2905</v>
      </c>
      <c r="N310" s="340" t="s">
        <v>2099</v>
      </c>
      <c r="O310" s="341"/>
      <c r="P310" s="341"/>
    </row>
    <row r="311" spans="1:16" s="354" customFormat="1" ht="12.75" customHeight="1">
      <c r="A311" s="336">
        <f t="shared" si="8"/>
        <v>310</v>
      </c>
      <c r="B311" s="336" t="s">
        <v>1537</v>
      </c>
      <c r="C311" s="336">
        <v>2</v>
      </c>
      <c r="D311" s="336">
        <v>527</v>
      </c>
      <c r="E311" s="341" t="str">
        <f ca="1">VLOOKUP( Aop!$A311, Aop!$A$2:$P$456, ID_Jezik +10, 1)</f>
        <v>12</v>
      </c>
      <c r="F311" s="336" t="str">
        <f ca="1">REPT( "  ", Aop!$C311) &amp; VLOOKUP( Aop!$A311, Aop!$A$2:$P$456, ID_Jezik + 6, 1)</f>
        <v xml:space="preserve">    Prilivi po osnovu kamata</v>
      </c>
      <c r="G311" s="310" t="s">
        <v>1301</v>
      </c>
      <c r="H311" s="309" t="s">
        <v>1274</v>
      </c>
      <c r="I311" s="326" t="s">
        <v>1580</v>
      </c>
      <c r="J311" s="378" t="s">
        <v>939</v>
      </c>
      <c r="K311" s="311" t="s">
        <v>2906</v>
      </c>
      <c r="L311" s="311">
        <v>12</v>
      </c>
      <c r="M311" s="311" t="s">
        <v>2906</v>
      </c>
      <c r="N311" s="340" t="s">
        <v>2100</v>
      </c>
      <c r="O311" s="341"/>
      <c r="P311" s="341"/>
    </row>
    <row r="312" spans="1:16" s="354" customFormat="1" ht="12.75" customHeight="1">
      <c r="A312" s="336">
        <f t="shared" ref="A312:A341" si="9">ROW()-ROW($A$1)</f>
        <v>311</v>
      </c>
      <c r="B312" s="336" t="s">
        <v>1537</v>
      </c>
      <c r="C312" s="336">
        <v>2</v>
      </c>
      <c r="D312" s="336">
        <v>528</v>
      </c>
      <c r="E312" s="341" t="str">
        <f ca="1">VLOOKUP( Aop!$A312, Aop!$A$2:$P$456, ID_Jezik +10, 1)</f>
        <v>13</v>
      </c>
      <c r="F312" s="336" t="str">
        <f ca="1">REPT( "  ", Aop!$C312) &amp; VLOOKUP( Aop!$A312, Aop!$A$2:$P$456, ID_Jezik + 6, 1)</f>
        <v xml:space="preserve">    Prilivi od dividendi i učešća u dobiti</v>
      </c>
      <c r="G312" s="310" t="s">
        <v>1302</v>
      </c>
      <c r="H312" s="309" t="s">
        <v>1275</v>
      </c>
      <c r="I312" s="326" t="s">
        <v>1581</v>
      </c>
      <c r="J312" s="378" t="s">
        <v>940</v>
      </c>
      <c r="K312" s="311" t="s">
        <v>1238</v>
      </c>
      <c r="L312" s="311">
        <v>13</v>
      </c>
      <c r="M312" s="311" t="s">
        <v>1238</v>
      </c>
      <c r="N312" s="340" t="s">
        <v>2101</v>
      </c>
      <c r="O312" s="341"/>
      <c r="P312" s="341"/>
    </row>
    <row r="313" spans="1:16" s="354" customFormat="1" ht="12.75" customHeight="1">
      <c r="A313" s="336">
        <f t="shared" si="9"/>
        <v>312</v>
      </c>
      <c r="B313" s="336" t="s">
        <v>1537</v>
      </c>
      <c r="C313" s="336">
        <v>2</v>
      </c>
      <c r="D313" s="336">
        <v>529</v>
      </c>
      <c r="E313" s="341" t="str">
        <f ca="1">VLOOKUP( Aop!$A313, Aop!$A$2:$P$456, ID_Jezik +10, 1)</f>
        <v>14</v>
      </c>
      <c r="F313" s="336" t="str">
        <f ca="1">REPT( "  ", Aop!$C313) &amp; VLOOKUP( Aop!$A313, Aop!$A$2:$P$456, ID_Jezik + 6, 1)</f>
        <v xml:space="preserve">    Prilivi po osnovu derivatnih finansijskih instrumenata</v>
      </c>
      <c r="G313" s="310" t="s">
        <v>1303</v>
      </c>
      <c r="H313" s="309" t="s">
        <v>1276</v>
      </c>
      <c r="I313" s="310" t="s">
        <v>1582</v>
      </c>
      <c r="J313" s="378" t="s">
        <v>941</v>
      </c>
      <c r="K313" s="311" t="s">
        <v>1239</v>
      </c>
      <c r="L313" s="311">
        <v>14</v>
      </c>
      <c r="M313" s="311" t="s">
        <v>1239</v>
      </c>
      <c r="N313" s="340" t="s">
        <v>2102</v>
      </c>
      <c r="O313" s="341"/>
      <c r="P313" s="341"/>
    </row>
    <row r="314" spans="1:16" s="354" customFormat="1" ht="12.75" customHeight="1">
      <c r="A314" s="336">
        <f t="shared" si="9"/>
        <v>313</v>
      </c>
      <c r="B314" s="336" t="s">
        <v>1537</v>
      </c>
      <c r="C314" s="336">
        <v>2</v>
      </c>
      <c r="D314" s="336">
        <v>530</v>
      </c>
      <c r="E314" s="341" t="str">
        <f ca="1">VLOOKUP( Aop!$A314, Aop!$A$2:$P$456, ID_Jezik +10, 1)</f>
        <v>15</v>
      </c>
      <c r="F314" s="336" t="str">
        <f ca="1">REPT( "  ", Aop!$C314) &amp; VLOOKUP( Aop!$A314, Aop!$A$2:$P$456, ID_Jezik + 6, 1)</f>
        <v xml:space="preserve">    Ostali prilivi iz aktivnosti investiranja</v>
      </c>
      <c r="G314" s="310" t="s">
        <v>2852</v>
      </c>
      <c r="H314" s="309" t="s">
        <v>2813</v>
      </c>
      <c r="I314" s="310" t="s">
        <v>1583</v>
      </c>
      <c r="J314" s="378" t="s">
        <v>942</v>
      </c>
      <c r="K314" s="311" t="s">
        <v>1240</v>
      </c>
      <c r="L314" s="311">
        <v>15</v>
      </c>
      <c r="M314" s="311" t="s">
        <v>1240</v>
      </c>
      <c r="N314" s="340" t="s">
        <v>259</v>
      </c>
      <c r="O314" s="341"/>
      <c r="P314" s="341"/>
    </row>
    <row r="315" spans="1:16" s="354" customFormat="1" ht="12.75" customHeight="1">
      <c r="A315" s="336">
        <f t="shared" si="9"/>
        <v>314</v>
      </c>
      <c r="B315" s="336" t="s">
        <v>1537</v>
      </c>
      <c r="C315" s="336">
        <v>1</v>
      </c>
      <c r="D315" s="336">
        <v>531</v>
      </c>
      <c r="E315" s="341" t="str">
        <f ca="1">VLOOKUP( Aop!$A315, Aop!$A$2:$P$456, ID_Jezik +10, 1)</f>
        <v>II</v>
      </c>
      <c r="F315" s="336" t="str">
        <f ca="1">REPT( "  ", Aop!$C315) &amp; VLOOKUP( Aop!$A315, Aop!$A$2:$P$456, ID_Jezik + 6, 1)</f>
        <v xml:space="preserve">  Odlivi gotovine iz aktivnosti investiranja (532 do 541)</v>
      </c>
      <c r="G315" s="310" t="s">
        <v>2853</v>
      </c>
      <c r="H315" s="309" t="s">
        <v>2814</v>
      </c>
      <c r="I315" s="310" t="s">
        <v>1584</v>
      </c>
      <c r="J315" s="378" t="s">
        <v>943</v>
      </c>
      <c r="K315" s="311" t="s">
        <v>1222</v>
      </c>
      <c r="L315" s="311" t="s">
        <v>1222</v>
      </c>
      <c r="M315" s="311" t="s">
        <v>1222</v>
      </c>
      <c r="N315" s="340" t="s">
        <v>1222</v>
      </c>
      <c r="O315" s="341"/>
      <c r="P315" s="341"/>
    </row>
    <row r="316" spans="1:16" s="354" customFormat="1" ht="12.75" customHeight="1">
      <c r="A316" s="336">
        <f t="shared" si="9"/>
        <v>315</v>
      </c>
      <c r="B316" s="336" t="s">
        <v>1537</v>
      </c>
      <c r="C316" s="336">
        <v>2</v>
      </c>
      <c r="D316" s="336">
        <v>532</v>
      </c>
      <c r="E316" s="341" t="str">
        <f ca="1">VLOOKUP( Aop!$A316, Aop!$A$2:$P$456, ID_Jezik +10, 1)</f>
        <v>1</v>
      </c>
      <c r="F316" s="336" t="str">
        <f ca="1">REPT( "  ", Aop!$C316) &amp; VLOOKUP( Aop!$A316, Aop!$A$2:$P$456, ID_Jezik + 6, 1)</f>
        <v xml:space="preserve">    Odlivi gotovine po osnovu kupovine akcija i udjela zavisnih i pridruženih društava i zajedničkih poduhvata</v>
      </c>
      <c r="G316" s="310" t="s">
        <v>2854</v>
      </c>
      <c r="H316" s="309" t="s">
        <v>2815</v>
      </c>
      <c r="I316" s="326" t="s">
        <v>1585</v>
      </c>
      <c r="J316" s="378" t="s">
        <v>944</v>
      </c>
      <c r="K316" s="311" t="s">
        <v>2140</v>
      </c>
      <c r="L316" s="311">
        <v>1</v>
      </c>
      <c r="M316" s="311" t="s">
        <v>2140</v>
      </c>
      <c r="N316" s="340" t="s">
        <v>2089</v>
      </c>
      <c r="O316" s="341"/>
      <c r="P316" s="341"/>
    </row>
    <row r="317" spans="1:16" s="354" customFormat="1" ht="12.75" customHeight="1">
      <c r="A317" s="336">
        <f t="shared" si="9"/>
        <v>316</v>
      </c>
      <c r="B317" s="336" t="s">
        <v>1537</v>
      </c>
      <c r="C317" s="336">
        <v>2</v>
      </c>
      <c r="D317" s="336">
        <v>533</v>
      </c>
      <c r="E317" s="341" t="str">
        <f ca="1">VLOOKUP( Aop!$A317, Aop!$A$2:$P$456, ID_Jezik +10, 1)</f>
        <v>2</v>
      </c>
      <c r="F317" s="336" t="str">
        <f ca="1">REPT( "  ", Aop!$C317) &amp; VLOOKUP( Aop!$A317, Aop!$A$2:$P$456, ID_Jezik + 6, 1)</f>
        <v xml:space="preserve">    Odlivi po osnovu kupovine nekretnina, postrojenja i opreme</v>
      </c>
      <c r="G317" s="310" t="s">
        <v>2855</v>
      </c>
      <c r="H317" s="309" t="s">
        <v>2816</v>
      </c>
      <c r="I317" s="310" t="s">
        <v>1586</v>
      </c>
      <c r="J317" s="378" t="s">
        <v>945</v>
      </c>
      <c r="K317" s="311" t="s">
        <v>1236</v>
      </c>
      <c r="L317" s="311">
        <v>2</v>
      </c>
      <c r="M317" s="311" t="s">
        <v>1236</v>
      </c>
      <c r="N317" s="340" t="s">
        <v>2090</v>
      </c>
      <c r="O317" s="341"/>
      <c r="P317" s="341"/>
    </row>
    <row r="318" spans="1:16" s="354" customFormat="1" ht="12.75" customHeight="1">
      <c r="A318" s="336">
        <f t="shared" si="9"/>
        <v>317</v>
      </c>
      <c r="B318" s="336" t="s">
        <v>1537</v>
      </c>
      <c r="C318" s="336">
        <v>2</v>
      </c>
      <c r="D318" s="336">
        <v>534</v>
      </c>
      <c r="E318" s="341" t="str">
        <f ca="1">VLOOKUP( Aop!$A318, Aop!$A$2:$P$456, ID_Jezik +10, 1)</f>
        <v>3</v>
      </c>
      <c r="F318" s="336" t="str">
        <f ca="1">REPT( "  ", Aop!$C318) &amp; VLOOKUP( Aop!$A318, Aop!$A$2:$P$456, ID_Jezik + 6, 1)</f>
        <v xml:space="preserve">    Odlivi po osnovu kupovine investicionih nekretnina</v>
      </c>
      <c r="G318" s="310" t="s">
        <v>2856</v>
      </c>
      <c r="H318" s="309" t="s">
        <v>2817</v>
      </c>
      <c r="I318" s="310" t="s">
        <v>1587</v>
      </c>
      <c r="J318" s="378" t="s">
        <v>946</v>
      </c>
      <c r="K318" s="311" t="s">
        <v>2426</v>
      </c>
      <c r="L318" s="311">
        <v>3</v>
      </c>
      <c r="M318" s="311" t="s">
        <v>2426</v>
      </c>
      <c r="N318" s="340" t="s">
        <v>2091</v>
      </c>
      <c r="O318" s="341"/>
      <c r="P318" s="341"/>
    </row>
    <row r="319" spans="1:16" s="354" customFormat="1" ht="12.75" customHeight="1">
      <c r="A319" s="336">
        <f t="shared" si="9"/>
        <v>318</v>
      </c>
      <c r="B319" s="336" t="s">
        <v>1537</v>
      </c>
      <c r="C319" s="336">
        <v>2</v>
      </c>
      <c r="D319" s="336">
        <v>535</v>
      </c>
      <c r="E319" s="341" t="str">
        <f ca="1">VLOOKUP( Aop!$A319, Aop!$A$2:$P$456, ID_Jezik +10, 1)</f>
        <v>4</v>
      </c>
      <c r="F319" s="336" t="str">
        <f ca="1">REPT( "  ", Aop!$C319) &amp; VLOOKUP( Aop!$A319, Aop!$A$2:$P$456, ID_Jezik + 6, 1)</f>
        <v xml:space="preserve">    Odlivi po osnovu kupovine bioloških sredstava</v>
      </c>
      <c r="G319" s="310" t="s">
        <v>2857</v>
      </c>
      <c r="H319" s="309" t="s">
        <v>2818</v>
      </c>
      <c r="I319" s="310" t="s">
        <v>1588</v>
      </c>
      <c r="J319" s="378" t="s">
        <v>947</v>
      </c>
      <c r="K319" s="311" t="s">
        <v>2455</v>
      </c>
      <c r="L319" s="311">
        <v>4</v>
      </c>
      <c r="M319" s="311" t="s">
        <v>2455</v>
      </c>
      <c r="N319" s="340" t="s">
        <v>2092</v>
      </c>
      <c r="O319" s="341"/>
      <c r="P319" s="341"/>
    </row>
    <row r="320" spans="1:16" s="354" customFormat="1" ht="12.75" customHeight="1">
      <c r="A320" s="336">
        <f t="shared" si="9"/>
        <v>319</v>
      </c>
      <c r="B320" s="336" t="s">
        <v>1537</v>
      </c>
      <c r="C320" s="336">
        <v>2</v>
      </c>
      <c r="D320" s="336">
        <v>536</v>
      </c>
      <c r="E320" s="341" t="str">
        <f ca="1">VLOOKUP( Aop!$A320, Aop!$A$2:$P$456, ID_Jezik +10, 1)</f>
        <v>5</v>
      </c>
      <c r="F320" s="336" t="str">
        <f ca="1">REPT( "  ", Aop!$C320) &amp; VLOOKUP( Aop!$A320, Aop!$A$2:$P$456, ID_Jezik + 6, 1)</f>
        <v xml:space="preserve">    Odlivi po osnovu kupovine nematerijalnih sredstava</v>
      </c>
      <c r="G320" s="310" t="s">
        <v>2858</v>
      </c>
      <c r="H320" s="309" t="s">
        <v>2819</v>
      </c>
      <c r="I320" s="310" t="s">
        <v>1589</v>
      </c>
      <c r="J320" s="378" t="s">
        <v>948</v>
      </c>
      <c r="K320" s="311" t="s">
        <v>2456</v>
      </c>
      <c r="L320" s="311">
        <v>5</v>
      </c>
      <c r="M320" s="311" t="s">
        <v>2456</v>
      </c>
      <c r="N320" s="340" t="s">
        <v>2093</v>
      </c>
      <c r="O320" s="341"/>
      <c r="P320" s="341"/>
    </row>
    <row r="321" spans="1:16" s="354" customFormat="1" ht="12.75" customHeight="1">
      <c r="A321" s="336">
        <f t="shared" si="9"/>
        <v>320</v>
      </c>
      <c r="B321" s="336" t="s">
        <v>1537</v>
      </c>
      <c r="C321" s="336">
        <v>2</v>
      </c>
      <c r="D321" s="336">
        <v>537</v>
      </c>
      <c r="E321" s="341" t="str">
        <f ca="1">VLOOKUP( Aop!$A321, Aop!$A$2:$P$456, ID_Jezik +10, 1)</f>
        <v>6</v>
      </c>
      <c r="F321" s="336" t="str">
        <f ca="1">REPT( "  ", Aop!$C321) &amp; VLOOKUP( Aop!$A321, Aop!$A$2:$P$456, ID_Jezik + 6, 1)</f>
        <v xml:space="preserve">    Odlivi po osnovu finansijskih sredstava po fer vrijednosti kroz ostali ukupni rezultat</v>
      </c>
      <c r="G321" s="310" t="s">
        <v>2859</v>
      </c>
      <c r="H321" s="309" t="s">
        <v>2820</v>
      </c>
      <c r="I321" s="310" t="s">
        <v>1590</v>
      </c>
      <c r="J321" s="378" t="s">
        <v>949</v>
      </c>
      <c r="K321" s="311" t="s">
        <v>2457</v>
      </c>
      <c r="L321" s="311">
        <v>6</v>
      </c>
      <c r="M321" s="311" t="s">
        <v>2457</v>
      </c>
      <c r="N321" s="340" t="s">
        <v>2094</v>
      </c>
      <c r="O321" s="341"/>
      <c r="P321" s="341"/>
    </row>
    <row r="322" spans="1:16" s="354" customFormat="1" ht="12.75" customHeight="1">
      <c r="A322" s="336">
        <f t="shared" si="9"/>
        <v>321</v>
      </c>
      <c r="B322" s="336" t="s">
        <v>1537</v>
      </c>
      <c r="C322" s="336">
        <v>2</v>
      </c>
      <c r="D322" s="336">
        <v>538</v>
      </c>
      <c r="E322" s="341" t="str">
        <f ca="1">VLOOKUP( Aop!$A322, Aop!$A$2:$P$456, ID_Jezik +10, 1)</f>
        <v>7</v>
      </c>
      <c r="F322" s="336" t="str">
        <f ca="1">REPT( "  ", Aop!$C322) &amp; VLOOKUP( Aop!$A322, Aop!$A$2:$P$456, ID_Jezik + 6, 1)</f>
        <v xml:space="preserve">    Odlivi po osnovu finansijskih sredstva po fer vrijednosti kroz bilans uspjeha</v>
      </c>
      <c r="G322" s="310" t="s">
        <v>2860</v>
      </c>
      <c r="H322" s="309" t="s">
        <v>2821</v>
      </c>
      <c r="I322" s="310" t="s">
        <v>1591</v>
      </c>
      <c r="J322" s="378" t="s">
        <v>950</v>
      </c>
      <c r="K322" s="311" t="s">
        <v>2458</v>
      </c>
      <c r="L322" s="311">
        <v>7</v>
      </c>
      <c r="M322" s="311" t="s">
        <v>2458</v>
      </c>
      <c r="N322" s="340" t="s">
        <v>2095</v>
      </c>
      <c r="O322" s="341"/>
      <c r="P322" s="341"/>
    </row>
    <row r="323" spans="1:16" s="354" customFormat="1" ht="12.75" customHeight="1">
      <c r="A323" s="336">
        <f t="shared" si="9"/>
        <v>322</v>
      </c>
      <c r="B323" s="336" t="s">
        <v>1537</v>
      </c>
      <c r="C323" s="336">
        <v>2</v>
      </c>
      <c r="D323" s="336">
        <v>539</v>
      </c>
      <c r="E323" s="341" t="str">
        <f ca="1">VLOOKUP( Aop!$A323, Aop!$A$2:$P$456, ID_Jezik +10, 1)</f>
        <v>8</v>
      </c>
      <c r="F323" s="336" t="str">
        <f ca="1">REPT( "  ", Aop!$C323) &amp; VLOOKUP( Aop!$A323, Aop!$A$2:$P$456, ID_Jezik + 6, 1)</f>
        <v xml:space="preserve">    Odlivi po osnovu ostalih finansijskih sredstava po amortizovanoj vrijednosti</v>
      </c>
      <c r="G323" s="310" t="s">
        <v>2861</v>
      </c>
      <c r="H323" s="309" t="s">
        <v>2822</v>
      </c>
      <c r="I323" s="310" t="s">
        <v>1592</v>
      </c>
      <c r="J323" s="378" t="s">
        <v>951</v>
      </c>
      <c r="K323" s="311" t="s">
        <v>2459</v>
      </c>
      <c r="L323" s="311">
        <v>8</v>
      </c>
      <c r="M323" s="311" t="s">
        <v>2459</v>
      </c>
      <c r="N323" s="340" t="s">
        <v>2096</v>
      </c>
      <c r="O323" s="341"/>
      <c r="P323" s="341"/>
    </row>
    <row r="324" spans="1:16" s="354" customFormat="1" ht="12.75" customHeight="1">
      <c r="A324" s="336">
        <f t="shared" si="9"/>
        <v>323</v>
      </c>
      <c r="B324" s="336" t="s">
        <v>1537</v>
      </c>
      <c r="C324" s="336">
        <v>2</v>
      </c>
      <c r="D324" s="336">
        <v>540</v>
      </c>
      <c r="E324" s="341" t="str">
        <f ca="1">VLOOKUP( Aop!$A324, Aop!$A$2:$P$456, ID_Jezik +10, 1)</f>
        <v>9</v>
      </c>
      <c r="F324" s="336" t="str">
        <f ca="1">REPT( "  ", Aop!$C324) &amp; VLOOKUP( Aop!$A324, Aop!$A$2:$P$456, ID_Jezik + 6, 1)</f>
        <v xml:space="preserve">    Odlivi po osnovu derivatnih finansijskih instrumenata</v>
      </c>
      <c r="G324" s="310" t="s">
        <v>2862</v>
      </c>
      <c r="H324" s="309" t="s">
        <v>2823</v>
      </c>
      <c r="I324" s="310" t="s">
        <v>1593</v>
      </c>
      <c r="J324" s="378" t="s">
        <v>952</v>
      </c>
      <c r="K324" s="311" t="s">
        <v>2460</v>
      </c>
      <c r="L324" s="311">
        <v>9</v>
      </c>
      <c r="M324" s="311" t="s">
        <v>2460</v>
      </c>
      <c r="N324" s="340" t="s">
        <v>2097</v>
      </c>
      <c r="O324" s="341"/>
      <c r="P324" s="341"/>
    </row>
    <row r="325" spans="1:16" s="354" customFormat="1" ht="12.75" customHeight="1">
      <c r="A325" s="336">
        <f t="shared" ref="A325:A337" si="10">ROW()-ROW($A$1)</f>
        <v>324</v>
      </c>
      <c r="B325" s="336" t="s">
        <v>1537</v>
      </c>
      <c r="C325" s="336">
        <v>2</v>
      </c>
      <c r="D325" s="336">
        <v>541</v>
      </c>
      <c r="E325" s="341" t="str">
        <f ca="1">VLOOKUP( Aop!$A325, Aop!$A$2:$P$456, ID_Jezik +10, 1)</f>
        <v>10</v>
      </c>
      <c r="F325" s="336" t="str">
        <f ca="1">REPT( "  ", Aop!$C325) &amp; VLOOKUP( Aop!$A325, Aop!$A$2:$P$456, ID_Jezik + 6, 1)</f>
        <v xml:space="preserve">    Ostali odlivi iz aktivnosti investiranja</v>
      </c>
      <c r="G325" s="310" t="s">
        <v>2863</v>
      </c>
      <c r="H325" s="309" t="s">
        <v>2824</v>
      </c>
      <c r="I325" s="310" t="s">
        <v>1594</v>
      </c>
      <c r="J325" s="378" t="s">
        <v>953</v>
      </c>
      <c r="K325" s="311" t="s">
        <v>2461</v>
      </c>
      <c r="L325" s="311">
        <v>10</v>
      </c>
      <c r="M325" s="311" t="s">
        <v>2461</v>
      </c>
      <c r="N325" s="340" t="s">
        <v>2098</v>
      </c>
      <c r="O325" s="341"/>
      <c r="P325" s="341"/>
    </row>
    <row r="326" spans="1:16" s="354" customFormat="1" ht="12.75" customHeight="1">
      <c r="A326" s="336">
        <f t="shared" si="10"/>
        <v>325</v>
      </c>
      <c r="B326" s="336" t="s">
        <v>1537</v>
      </c>
      <c r="C326" s="336">
        <v>1</v>
      </c>
      <c r="D326" s="336">
        <v>542</v>
      </c>
      <c r="E326" s="341" t="str">
        <f ca="1">VLOOKUP( Aop!$A326, Aop!$A$2:$P$456, ID_Jezik +10, 1)</f>
        <v>III</v>
      </c>
      <c r="F326" s="336" t="str">
        <f ca="1">REPT( "  ", Aop!$C326) &amp; VLOOKUP( Aop!$A326, Aop!$A$2:$P$456, ID_Jezik + 6, 1)</f>
        <v xml:space="preserve">  Neto priliv gotovine iz aktivnosti investiranja (515-531)</v>
      </c>
      <c r="G326" s="310" t="s">
        <v>2864</v>
      </c>
      <c r="H326" s="309" t="s">
        <v>2825</v>
      </c>
      <c r="I326" s="310" t="s">
        <v>1595</v>
      </c>
      <c r="J326" s="378" t="s">
        <v>954</v>
      </c>
      <c r="K326" s="311" t="s">
        <v>1223</v>
      </c>
      <c r="L326" s="311" t="s">
        <v>1223</v>
      </c>
      <c r="M326" s="311" t="s">
        <v>1223</v>
      </c>
      <c r="N326" s="340" t="s">
        <v>1223</v>
      </c>
      <c r="O326" s="341">
        <v>1</v>
      </c>
      <c r="P326" s="341"/>
    </row>
    <row r="327" spans="1:16" s="354" customFormat="1" ht="12.75" customHeight="1">
      <c r="A327" s="336">
        <f t="shared" si="10"/>
        <v>326</v>
      </c>
      <c r="B327" s="336" t="s">
        <v>1537</v>
      </c>
      <c r="C327" s="336">
        <v>1</v>
      </c>
      <c r="D327" s="336">
        <v>543</v>
      </c>
      <c r="E327" s="341" t="str">
        <f ca="1">VLOOKUP( Aop!$A327, Aop!$A$2:$P$456, ID_Jezik +10, 1)</f>
        <v>IV</v>
      </c>
      <c r="F327" s="336" t="str">
        <f ca="1">REPT( "  ", Aop!$C327) &amp; VLOOKUP( Aop!$A327, Aop!$A$2:$P$456, ID_Jezik + 6, 1)</f>
        <v xml:space="preserve">  Neto odliv gotovine iz aktivnosti investiranja (531 – 515)</v>
      </c>
      <c r="G327" s="310" t="s">
        <v>2865</v>
      </c>
      <c r="H327" s="309" t="s">
        <v>2826</v>
      </c>
      <c r="I327" s="310" t="s">
        <v>1596</v>
      </c>
      <c r="J327" s="378" t="s">
        <v>955</v>
      </c>
      <c r="K327" s="311" t="s">
        <v>1224</v>
      </c>
      <c r="L327" s="311" t="s">
        <v>1224</v>
      </c>
      <c r="M327" s="311" t="s">
        <v>1224</v>
      </c>
      <c r="N327" s="340" t="s">
        <v>1224</v>
      </c>
      <c r="O327" s="341">
        <v>1</v>
      </c>
      <c r="P327" s="341"/>
    </row>
    <row r="328" spans="1:16" s="354" customFormat="1" ht="25.5" customHeight="1">
      <c r="A328" s="336">
        <f t="shared" si="10"/>
        <v>327</v>
      </c>
      <c r="B328" s="336" t="s">
        <v>1537</v>
      </c>
      <c r="C328" s="336">
        <v>0</v>
      </c>
      <c r="D328" s="336">
        <v>544</v>
      </c>
      <c r="E328" s="341" t="str">
        <f ca="1">VLOOKUP( Aop!$A328, Aop!$A$2:$P$456, ID_Jezik +10, 1)</f>
        <v>B_x000D_
I</v>
      </c>
      <c r="F328" s="364" t="str">
        <f ca="1">REPT( "  ", Aop!$C328) &amp; VLOOKUP( Aop!$A328, Aop!$A$2:$P$456, ID_Jezik + 6, 1)</f>
        <v>TOKOVI GOTOVINE IZ AKTIVNOSTI FINANSIRANJA
Prilivi gotovine iz aktivnosti finansiranja (545 do 550)</v>
      </c>
      <c r="G328" s="466" t="s">
        <v>14</v>
      </c>
      <c r="H328" s="309" t="s">
        <v>2827</v>
      </c>
      <c r="I328" s="339" t="s">
        <v>4</v>
      </c>
      <c r="J328" s="378" t="s">
        <v>315</v>
      </c>
      <c r="K328" s="311" t="s">
        <v>1237</v>
      </c>
      <c r="L328" s="311" t="s">
        <v>1226</v>
      </c>
      <c r="M328" s="311" t="s">
        <v>1237</v>
      </c>
      <c r="N328" s="340" t="s">
        <v>262</v>
      </c>
      <c r="O328" s="341">
        <v>1</v>
      </c>
      <c r="P328" s="341"/>
    </row>
    <row r="329" spans="1:16" s="354" customFormat="1" ht="12.75" customHeight="1">
      <c r="A329" s="336">
        <f t="shared" si="10"/>
        <v>328</v>
      </c>
      <c r="B329" s="336" t="s">
        <v>1537</v>
      </c>
      <c r="C329" s="336">
        <v>2</v>
      </c>
      <c r="D329" s="336">
        <v>545</v>
      </c>
      <c r="E329" s="341" t="str">
        <f ca="1">VLOOKUP( Aop!$A329, Aop!$A$2:$P$456, ID_Jezik +10, 1)</f>
        <v>1</v>
      </c>
      <c r="F329" s="336" t="str">
        <f ca="1">REPT( "  ", Aop!$C329) &amp; VLOOKUP( Aop!$A329, Aop!$A$2:$P$456, ID_Jezik + 6, 1)</f>
        <v xml:space="preserve">    Prilivi po osnovu povećanja osnovnog kapitala</v>
      </c>
      <c r="G329" s="310" t="s">
        <v>2866</v>
      </c>
      <c r="H329" s="309" t="s">
        <v>2828</v>
      </c>
      <c r="I329" s="310" t="s">
        <v>1597</v>
      </c>
      <c r="J329" s="378" t="s">
        <v>956</v>
      </c>
      <c r="K329" s="311" t="s">
        <v>2140</v>
      </c>
      <c r="L329" s="311">
        <v>1</v>
      </c>
      <c r="M329" s="311" t="s">
        <v>2140</v>
      </c>
      <c r="N329" s="340" t="s">
        <v>2089</v>
      </c>
      <c r="O329" s="341"/>
      <c r="P329" s="341"/>
    </row>
    <row r="330" spans="1:16" s="354" customFormat="1" ht="12.75" customHeight="1">
      <c r="A330" s="336">
        <f t="shared" si="10"/>
        <v>329</v>
      </c>
      <c r="B330" s="336" t="s">
        <v>1537</v>
      </c>
      <c r="C330" s="336">
        <v>2</v>
      </c>
      <c r="D330" s="336">
        <v>546</v>
      </c>
      <c r="E330" s="341" t="str">
        <f ca="1">VLOOKUP( Aop!$A330, Aop!$A$2:$P$456, ID_Jezik +10, 1)</f>
        <v>2</v>
      </c>
      <c r="F330" s="336" t="str">
        <f ca="1">REPT( "  ", Aop!$C330) &amp; VLOOKUP( Aop!$A330, Aop!$A$2:$P$456, ID_Jezik + 6, 1)</f>
        <v xml:space="preserve">    Prilivi od prodaje otkupljenih sopstvenih akcija</v>
      </c>
      <c r="G330" s="310" t="s">
        <v>2867</v>
      </c>
      <c r="H330" s="309" t="s">
        <v>2829</v>
      </c>
      <c r="I330" s="326" t="s">
        <v>1598</v>
      </c>
      <c r="J330" s="378" t="s">
        <v>957</v>
      </c>
      <c r="K330" s="311" t="s">
        <v>1236</v>
      </c>
      <c r="L330" s="311">
        <v>2</v>
      </c>
      <c r="M330" s="311" t="s">
        <v>1236</v>
      </c>
      <c r="N330" s="340" t="s">
        <v>2090</v>
      </c>
      <c r="O330" s="341"/>
      <c r="P330" s="341"/>
    </row>
    <row r="331" spans="1:16" s="354" customFormat="1" ht="12.75" customHeight="1">
      <c r="A331" s="336">
        <f t="shared" si="10"/>
        <v>330</v>
      </c>
      <c r="B331" s="336" t="s">
        <v>1537</v>
      </c>
      <c r="C331" s="336">
        <v>2</v>
      </c>
      <c r="D331" s="336">
        <v>547</v>
      </c>
      <c r="E331" s="341" t="str">
        <f ca="1">VLOOKUP( Aop!$A331, Aop!$A$2:$P$456, ID_Jezik +10, 1)</f>
        <v>3</v>
      </c>
      <c r="F331" s="336" t="str">
        <f ca="1">REPT( "  ", Aop!$C331) &amp; VLOOKUP( Aop!$A331, Aop!$A$2:$P$456, ID_Jezik + 6, 1)</f>
        <v xml:space="preserve">    Prilivi po osnovu dugoročnih kredita</v>
      </c>
      <c r="G331" s="310" t="s">
        <v>1199</v>
      </c>
      <c r="H331" s="309" t="s">
        <v>2830</v>
      </c>
      <c r="I331" s="310" t="s">
        <v>1599</v>
      </c>
      <c r="J331" s="378" t="s">
        <v>958</v>
      </c>
      <c r="K331" s="311" t="s">
        <v>2426</v>
      </c>
      <c r="L331" s="311">
        <v>3</v>
      </c>
      <c r="M331" s="311" t="s">
        <v>2426</v>
      </c>
      <c r="N331" s="340" t="s">
        <v>2091</v>
      </c>
      <c r="O331" s="341"/>
      <c r="P331" s="341"/>
    </row>
    <row r="332" spans="1:16" s="354" customFormat="1" ht="12.75" customHeight="1">
      <c r="A332" s="336">
        <f t="shared" si="10"/>
        <v>331</v>
      </c>
      <c r="B332" s="336" t="s">
        <v>1537</v>
      </c>
      <c r="C332" s="336">
        <v>2</v>
      </c>
      <c r="D332" s="336">
        <v>548</v>
      </c>
      <c r="E332" s="341" t="str">
        <f ca="1">VLOOKUP( Aop!$A332, Aop!$A$2:$P$456, ID_Jezik +10, 1)</f>
        <v>4</v>
      </c>
      <c r="F332" s="336" t="str">
        <f ca="1">REPT( "  ", Aop!$C332) &amp; VLOOKUP( Aop!$A332, Aop!$A$2:$P$456, ID_Jezik + 6, 1)</f>
        <v xml:space="preserve">    Prilivi po osnovu kratkoročnih kredita</v>
      </c>
      <c r="G332" s="310" t="s">
        <v>1200</v>
      </c>
      <c r="H332" s="309" t="s">
        <v>2831</v>
      </c>
      <c r="I332" s="310" t="s">
        <v>1600</v>
      </c>
      <c r="J332" s="378" t="s">
        <v>959</v>
      </c>
      <c r="K332" s="311" t="s">
        <v>2455</v>
      </c>
      <c r="L332" s="311">
        <v>4</v>
      </c>
      <c r="M332" s="311" t="s">
        <v>2455</v>
      </c>
      <c r="N332" s="340" t="s">
        <v>2092</v>
      </c>
      <c r="O332" s="341"/>
      <c r="P332" s="341"/>
    </row>
    <row r="333" spans="1:16" s="354" customFormat="1" ht="12.75" customHeight="1">
      <c r="A333" s="336">
        <f t="shared" si="10"/>
        <v>332</v>
      </c>
      <c r="B333" s="336" t="s">
        <v>1537</v>
      </c>
      <c r="C333" s="336">
        <v>2</v>
      </c>
      <c r="D333" s="336">
        <v>549</v>
      </c>
      <c r="E333" s="341" t="str">
        <f ca="1">VLOOKUP( Aop!$A333, Aop!$A$2:$P$456, ID_Jezik +10, 1)</f>
        <v>5</v>
      </c>
      <c r="F333" s="336" t="str">
        <f ca="1">REPT( "  ", Aop!$C333) &amp; VLOOKUP( Aop!$A333, Aop!$A$2:$P$456, ID_Jezik + 6, 1)</f>
        <v xml:space="preserve">    Prilivi po osnovu izdatih dužničkih instrumenta</v>
      </c>
      <c r="G333" s="310" t="s">
        <v>1201</v>
      </c>
      <c r="H333" s="309" t="s">
        <v>2832</v>
      </c>
      <c r="I333" s="310" t="s">
        <v>1601</v>
      </c>
      <c r="J333" s="378" t="s">
        <v>960</v>
      </c>
      <c r="K333" s="311" t="s">
        <v>2456</v>
      </c>
      <c r="L333" s="311">
        <v>5</v>
      </c>
      <c r="M333" s="311" t="s">
        <v>2456</v>
      </c>
      <c r="N333" s="340" t="s">
        <v>2093</v>
      </c>
      <c r="O333" s="341"/>
      <c r="P333" s="341"/>
    </row>
    <row r="334" spans="1:16" s="354" customFormat="1" ht="12.75" customHeight="1">
      <c r="A334" s="336">
        <f t="shared" si="10"/>
        <v>333</v>
      </c>
      <c r="B334" s="336" t="s">
        <v>1537</v>
      </c>
      <c r="C334" s="336">
        <v>2</v>
      </c>
      <c r="D334" s="336">
        <v>550</v>
      </c>
      <c r="E334" s="341" t="str">
        <f ca="1">VLOOKUP( Aop!$A334, Aop!$A$2:$P$456, ID_Jezik +10, 1)</f>
        <v>6</v>
      </c>
      <c r="F334" s="336" t="str">
        <f ca="1">REPT( "  ", Aop!$C334) &amp; VLOOKUP( Aop!$A334, Aop!$A$2:$P$456, ID_Jezik + 6, 1)</f>
        <v xml:space="preserve">    Ostali prilivi iz aktivnosti finansiranja </v>
      </c>
      <c r="G334" s="310" t="s">
        <v>1202</v>
      </c>
      <c r="H334" s="309" t="s">
        <v>2833</v>
      </c>
      <c r="I334" s="310" t="s">
        <v>1602</v>
      </c>
      <c r="J334" s="378" t="s">
        <v>961</v>
      </c>
      <c r="K334" s="311" t="s">
        <v>2457</v>
      </c>
      <c r="L334" s="311">
        <v>6</v>
      </c>
      <c r="M334" s="311" t="s">
        <v>2457</v>
      </c>
      <c r="N334" s="340" t="s">
        <v>2094</v>
      </c>
      <c r="O334" s="341"/>
      <c r="P334" s="341"/>
    </row>
    <row r="335" spans="1:16" s="354" customFormat="1" ht="12.75" customHeight="1">
      <c r="A335" s="336">
        <f t="shared" si="10"/>
        <v>334</v>
      </c>
      <c r="B335" s="336" t="s">
        <v>1537</v>
      </c>
      <c r="C335" s="336">
        <v>2</v>
      </c>
      <c r="D335" s="336">
        <v>551</v>
      </c>
      <c r="E335" s="341" t="str">
        <f ca="1">VLOOKUP( Aop!$A335, Aop!$A$2:$P$456, ID_Jezik +10, 1)</f>
        <v>II</v>
      </c>
      <c r="F335" s="336" t="str">
        <f ca="1">REPT( "  ", Aop!$C335) &amp; VLOOKUP( Aop!$A335, Aop!$A$2:$P$456, ID_Jezik + 6, 1)</f>
        <v xml:space="preserve">    Odlivi gotovine iz aktivnosti finansiranja (552 do 558)</v>
      </c>
      <c r="G335" s="310" t="s">
        <v>1203</v>
      </c>
      <c r="H335" s="309" t="s">
        <v>2834</v>
      </c>
      <c r="I335" s="310" t="s">
        <v>1603</v>
      </c>
      <c r="J335" s="378" t="s">
        <v>962</v>
      </c>
      <c r="K335" s="311" t="s">
        <v>1222</v>
      </c>
      <c r="L335" s="311" t="s">
        <v>1222</v>
      </c>
      <c r="M335" s="311" t="s">
        <v>1222</v>
      </c>
      <c r="N335" s="340" t="s">
        <v>1222</v>
      </c>
      <c r="O335" s="341"/>
      <c r="P335" s="341"/>
    </row>
    <row r="336" spans="1:16" s="354" customFormat="1" ht="12.75" customHeight="1">
      <c r="A336" s="336">
        <f t="shared" si="10"/>
        <v>335</v>
      </c>
      <c r="B336" s="336" t="s">
        <v>1537</v>
      </c>
      <c r="C336" s="336">
        <v>2</v>
      </c>
      <c r="D336" s="336">
        <v>552</v>
      </c>
      <c r="E336" s="341" t="str">
        <f ca="1">VLOOKUP( Aop!$A336, Aop!$A$2:$P$456, ID_Jezik +10, 1)</f>
        <v>1</v>
      </c>
      <c r="F336" s="336" t="str">
        <f ca="1">REPT( "  ", Aop!$C336) &amp; VLOOKUP( Aop!$A336, Aop!$A$2:$P$456, ID_Jezik + 6, 1)</f>
        <v xml:space="preserve">    Odlivi po osnovu otkupa sopstvenih akcija i udjela</v>
      </c>
      <c r="G336" s="310" t="s">
        <v>1204</v>
      </c>
      <c r="H336" s="309" t="s">
        <v>2835</v>
      </c>
      <c r="I336" s="310" t="s">
        <v>1604</v>
      </c>
      <c r="J336" s="378" t="s">
        <v>963</v>
      </c>
      <c r="K336" s="311" t="s">
        <v>2140</v>
      </c>
      <c r="L336" s="311">
        <v>1</v>
      </c>
      <c r="M336" s="311" t="s">
        <v>2140</v>
      </c>
      <c r="N336" s="340" t="s">
        <v>2089</v>
      </c>
      <c r="O336" s="341"/>
      <c r="P336" s="341"/>
    </row>
    <row r="337" spans="1:16" s="354" customFormat="1" ht="12.75" customHeight="1">
      <c r="A337" s="336">
        <f t="shared" si="10"/>
        <v>336</v>
      </c>
      <c r="B337" s="336" t="s">
        <v>1537</v>
      </c>
      <c r="C337" s="336">
        <v>2</v>
      </c>
      <c r="D337" s="336">
        <v>553</v>
      </c>
      <c r="E337" s="341" t="str">
        <f ca="1">VLOOKUP( Aop!$A337, Aop!$A$2:$P$456, ID_Jezik +10, 1)</f>
        <v>2</v>
      </c>
      <c r="F337" s="336" t="str">
        <f ca="1">REPT( "  ", Aop!$C337) &amp; VLOOKUP( Aop!$A337, Aop!$A$2:$P$456, ID_Jezik + 6, 1)</f>
        <v xml:space="preserve">    Odlivi po osnovu dugoročnih kredita </v>
      </c>
      <c r="G337" s="310" t="s">
        <v>1205</v>
      </c>
      <c r="H337" s="309" t="s">
        <v>2836</v>
      </c>
      <c r="I337" s="310" t="s">
        <v>1605</v>
      </c>
      <c r="J337" s="378" t="s">
        <v>964</v>
      </c>
      <c r="K337" s="311" t="s">
        <v>1236</v>
      </c>
      <c r="L337" s="311">
        <v>2</v>
      </c>
      <c r="M337" s="311" t="s">
        <v>1236</v>
      </c>
      <c r="N337" s="340" t="s">
        <v>2090</v>
      </c>
      <c r="O337" s="341"/>
      <c r="P337" s="341"/>
    </row>
    <row r="338" spans="1:16" s="354" customFormat="1" ht="12.75" customHeight="1">
      <c r="A338" s="336">
        <f t="shared" si="9"/>
        <v>337</v>
      </c>
      <c r="B338" s="336" t="s">
        <v>1537</v>
      </c>
      <c r="C338" s="336">
        <v>2</v>
      </c>
      <c r="D338" s="336">
        <v>554</v>
      </c>
      <c r="E338" s="341" t="str">
        <f ca="1">VLOOKUP( Aop!$A338, Aop!$A$2:$P$456, ID_Jezik +10, 1)</f>
        <v>3</v>
      </c>
      <c r="F338" s="336" t="str">
        <f ca="1">REPT( "  ", Aop!$C338) &amp; VLOOKUP( Aop!$A338, Aop!$A$2:$P$456, ID_Jezik + 6, 1)</f>
        <v xml:space="preserve">    Odlivi po osnovu kratkoročnih kredita </v>
      </c>
      <c r="G338" s="310" t="s">
        <v>1206</v>
      </c>
      <c r="H338" s="309" t="s">
        <v>2837</v>
      </c>
      <c r="I338" s="310" t="s">
        <v>1606</v>
      </c>
      <c r="J338" s="378" t="s">
        <v>965</v>
      </c>
      <c r="K338" s="311" t="s">
        <v>2426</v>
      </c>
      <c r="L338" s="311">
        <v>3</v>
      </c>
      <c r="M338" s="311" t="s">
        <v>2426</v>
      </c>
      <c r="N338" s="340" t="s">
        <v>2091</v>
      </c>
      <c r="O338" s="341"/>
      <c r="P338" s="341"/>
    </row>
    <row r="339" spans="1:16" s="354" customFormat="1" ht="12.75" customHeight="1">
      <c r="A339" s="336">
        <f t="shared" si="9"/>
        <v>338</v>
      </c>
      <c r="B339" s="336" t="s">
        <v>1537</v>
      </c>
      <c r="C339" s="336">
        <v>2</v>
      </c>
      <c r="D339" s="336">
        <v>555</v>
      </c>
      <c r="E339" s="341" t="str">
        <f ca="1">VLOOKUP( Aop!$A339, Aop!$A$2:$P$456, ID_Jezik +10, 1)</f>
        <v>4</v>
      </c>
      <c r="F339" s="336" t="str">
        <f ca="1">REPT( "  ", Aop!$C339) &amp; VLOOKUP( Aop!$A339, Aop!$A$2:$P$456, ID_Jezik + 6, 1)</f>
        <v xml:space="preserve">    Odlivi po osnovu lizinga </v>
      </c>
      <c r="G339" s="310" t="s">
        <v>1207</v>
      </c>
      <c r="H339" s="309" t="s">
        <v>2838</v>
      </c>
      <c r="I339" s="310" t="s">
        <v>1607</v>
      </c>
      <c r="J339" s="378" t="s">
        <v>966</v>
      </c>
      <c r="K339" s="311" t="s">
        <v>2455</v>
      </c>
      <c r="L339" s="311">
        <v>4</v>
      </c>
      <c r="M339" s="311" t="s">
        <v>2455</v>
      </c>
      <c r="N339" s="340" t="s">
        <v>2092</v>
      </c>
      <c r="O339" s="341"/>
      <c r="P339" s="341"/>
    </row>
    <row r="340" spans="1:16" s="354" customFormat="1" ht="12.75" customHeight="1">
      <c r="A340" s="336">
        <f t="shared" si="9"/>
        <v>339</v>
      </c>
      <c r="B340" s="336" t="s">
        <v>1537</v>
      </c>
      <c r="C340" s="336">
        <v>2</v>
      </c>
      <c r="D340" s="336">
        <v>556</v>
      </c>
      <c r="E340" s="341" t="str">
        <f ca="1">VLOOKUP( Aop!$A340, Aop!$A$2:$P$456, ID_Jezik +10, 1)</f>
        <v>5</v>
      </c>
      <c r="F340" s="336" t="str">
        <f ca="1">REPT( "  ", Aop!$C340) &amp; VLOOKUP( Aop!$A340, Aop!$A$2:$P$456, ID_Jezik + 6, 1)</f>
        <v xml:space="preserve">    Odlivi po osnovu dužničkih instrumenata</v>
      </c>
      <c r="G340" s="310" t="s">
        <v>1208</v>
      </c>
      <c r="H340" s="309" t="s">
        <v>2839</v>
      </c>
      <c r="I340" s="310" t="s">
        <v>1608</v>
      </c>
      <c r="J340" s="378" t="s">
        <v>967</v>
      </c>
      <c r="K340" s="311" t="s">
        <v>2456</v>
      </c>
      <c r="L340" s="311">
        <v>5</v>
      </c>
      <c r="M340" s="311" t="s">
        <v>2456</v>
      </c>
      <c r="N340" s="340" t="s">
        <v>2093</v>
      </c>
      <c r="O340" s="341"/>
      <c r="P340" s="341"/>
    </row>
    <row r="341" spans="1:16" s="354" customFormat="1" ht="12.75" customHeight="1">
      <c r="A341" s="336">
        <f t="shared" si="9"/>
        <v>340</v>
      </c>
      <c r="B341" s="336" t="s">
        <v>1537</v>
      </c>
      <c r="C341" s="336">
        <v>2</v>
      </c>
      <c r="D341" s="336">
        <v>557</v>
      </c>
      <c r="E341" s="341" t="str">
        <f ca="1">VLOOKUP( Aop!$A341, Aop!$A$2:$P$456, ID_Jezik +10, 1)</f>
        <v>6</v>
      </c>
      <c r="F341" s="336" t="str">
        <f ca="1">REPT( "  ", Aop!$C341) &amp; VLOOKUP( Aop!$A341, Aop!$A$2:$P$456, ID_Jezik + 6, 1)</f>
        <v xml:space="preserve">    Odlivi po osnovu isplaćenih dividendi</v>
      </c>
      <c r="G341" s="310" t="s">
        <v>1209</v>
      </c>
      <c r="H341" s="309" t="s">
        <v>2840</v>
      </c>
      <c r="I341" s="310" t="s">
        <v>1609</v>
      </c>
      <c r="J341" s="378" t="s">
        <v>968</v>
      </c>
      <c r="K341" s="311" t="s">
        <v>2457</v>
      </c>
      <c r="L341" s="311">
        <v>6</v>
      </c>
      <c r="M341" s="311" t="s">
        <v>2457</v>
      </c>
      <c r="N341" s="340" t="s">
        <v>2094</v>
      </c>
      <c r="O341" s="341"/>
      <c r="P341" s="341"/>
    </row>
    <row r="342" spans="1:16" s="354" customFormat="1" ht="12.75" customHeight="1">
      <c r="A342" s="336">
        <f t="shared" ref="A342:A352" si="11">ROW()-ROW($A$1)</f>
        <v>341</v>
      </c>
      <c r="B342" s="336" t="s">
        <v>1537</v>
      </c>
      <c r="C342" s="336">
        <v>2</v>
      </c>
      <c r="D342" s="336">
        <v>558</v>
      </c>
      <c r="E342" s="341" t="str">
        <f ca="1">VLOOKUP( Aop!$A342, Aop!$A$2:$P$456, ID_Jezik +10, 1)</f>
        <v>7</v>
      </c>
      <c r="F342" s="336" t="str">
        <f ca="1">REPT( "  ", Aop!$C342) &amp; VLOOKUP( Aop!$A342, Aop!$A$2:$P$456, ID_Jezik + 6, 1)</f>
        <v xml:space="preserve">    Ostali odlivi iz aktivnosti finansiranja</v>
      </c>
      <c r="G342" s="310" t="s">
        <v>1210</v>
      </c>
      <c r="H342" s="309" t="s">
        <v>2841</v>
      </c>
      <c r="I342" s="310" t="s">
        <v>1610</v>
      </c>
      <c r="J342" s="378" t="s">
        <v>969</v>
      </c>
      <c r="K342" s="311" t="s">
        <v>2458</v>
      </c>
      <c r="L342" s="311">
        <v>7</v>
      </c>
      <c r="M342" s="311" t="s">
        <v>2458</v>
      </c>
      <c r="N342" s="340" t="s">
        <v>2095</v>
      </c>
      <c r="O342" s="341"/>
      <c r="P342" s="341"/>
    </row>
    <row r="343" spans="1:16" s="354" customFormat="1" ht="12.75" customHeight="1">
      <c r="A343" s="336">
        <f t="shared" si="11"/>
        <v>342</v>
      </c>
      <c r="B343" s="336" t="s">
        <v>1537</v>
      </c>
      <c r="C343" s="336">
        <v>1</v>
      </c>
      <c r="D343" s="336">
        <v>559</v>
      </c>
      <c r="E343" s="341" t="str">
        <f ca="1">VLOOKUP( Aop!$A343, Aop!$A$2:$P$456, ID_Jezik +10, 1)</f>
        <v>III</v>
      </c>
      <c r="F343" s="336" t="str">
        <f ca="1">REPT( "  ", Aop!$C343) &amp; VLOOKUP( Aop!$A343, Aop!$A$2:$P$456, ID_Jezik + 6, 1)</f>
        <v xml:space="preserve">  Neto priliv gotovine iz aktivnosti finansiranja (544 – 551)</v>
      </c>
      <c r="G343" s="310" t="s">
        <v>1211</v>
      </c>
      <c r="H343" s="309" t="s">
        <v>2842</v>
      </c>
      <c r="I343" s="310" t="s">
        <v>620</v>
      </c>
      <c r="J343" s="378" t="s">
        <v>970</v>
      </c>
      <c r="K343" s="311" t="s">
        <v>1223</v>
      </c>
      <c r="L343" s="311" t="s">
        <v>1223</v>
      </c>
      <c r="M343" s="311" t="s">
        <v>1223</v>
      </c>
      <c r="N343" s="340" t="s">
        <v>1223</v>
      </c>
      <c r="O343" s="341">
        <v>1</v>
      </c>
      <c r="P343" s="341"/>
    </row>
    <row r="344" spans="1:16" s="354" customFormat="1" ht="12.75" customHeight="1">
      <c r="A344" s="336">
        <f t="shared" si="11"/>
        <v>343</v>
      </c>
      <c r="B344" s="336" t="s">
        <v>1537</v>
      </c>
      <c r="C344" s="336">
        <v>1</v>
      </c>
      <c r="D344" s="336">
        <v>560</v>
      </c>
      <c r="E344" s="341" t="str">
        <f ca="1">VLOOKUP( Aop!$A344, Aop!$A$2:$P$456, ID_Jezik +10, 1)</f>
        <v>IV</v>
      </c>
      <c r="F344" s="336" t="str">
        <f ca="1">REPT( "  ", Aop!$C344) &amp; VLOOKUP( Aop!$A344, Aop!$A$2:$P$456, ID_Jezik + 6, 1)</f>
        <v xml:space="preserve">  Neto odliv gotovine iz aktivnosti finansiranja (551 – 544) </v>
      </c>
      <c r="G344" s="310" t="s">
        <v>1212</v>
      </c>
      <c r="H344" s="309" t="s">
        <v>2843</v>
      </c>
      <c r="I344" s="310" t="s">
        <v>1611</v>
      </c>
      <c r="J344" s="378" t="s">
        <v>971</v>
      </c>
      <c r="K344" s="311" t="s">
        <v>1224</v>
      </c>
      <c r="L344" s="311" t="s">
        <v>1224</v>
      </c>
      <c r="M344" s="311" t="s">
        <v>1224</v>
      </c>
      <c r="N344" s="340" t="s">
        <v>1224</v>
      </c>
      <c r="O344" s="341">
        <v>1</v>
      </c>
      <c r="P344" s="341"/>
    </row>
    <row r="345" spans="1:16" s="354" customFormat="1" ht="12.75" customHeight="1">
      <c r="A345" s="336">
        <f t="shared" si="11"/>
        <v>344</v>
      </c>
      <c r="B345" s="336" t="s">
        <v>1537</v>
      </c>
      <c r="C345" s="336">
        <v>0</v>
      </c>
      <c r="D345" s="336">
        <v>561</v>
      </c>
      <c r="E345" s="341" t="str">
        <f ca="1">VLOOKUP( Aop!$A345, Aop!$A$2:$P$456, ID_Jezik +10, 1)</f>
        <v>G</v>
      </c>
      <c r="F345" s="364" t="str">
        <f ca="1">REPT( "  ", Aop!$C345) &amp; VLOOKUP( Aop!$A345, Aop!$A$2:$P$456, ID_Jezik + 6, 1)</f>
        <v>UKUPNI PRILIVI GOTOVINE (501 + 515 + 544)</v>
      </c>
      <c r="G345" s="467" t="s">
        <v>1213</v>
      </c>
      <c r="H345" s="309" t="s">
        <v>2844</v>
      </c>
      <c r="I345" s="310" t="s">
        <v>1612</v>
      </c>
      <c r="J345" s="378" t="s">
        <v>972</v>
      </c>
      <c r="K345" s="311" t="s">
        <v>1241</v>
      </c>
      <c r="L345" s="311" t="s">
        <v>1227</v>
      </c>
      <c r="M345" s="311" t="s">
        <v>1241</v>
      </c>
      <c r="N345" s="340" t="s">
        <v>1227</v>
      </c>
      <c r="O345" s="341">
        <v>1</v>
      </c>
      <c r="P345" s="341"/>
    </row>
    <row r="346" spans="1:16" s="354" customFormat="1" ht="12.75" customHeight="1">
      <c r="A346" s="336">
        <f t="shared" si="11"/>
        <v>345</v>
      </c>
      <c r="B346" s="336" t="s">
        <v>1537</v>
      </c>
      <c r="C346" s="336">
        <v>0</v>
      </c>
      <c r="D346" s="336">
        <v>562</v>
      </c>
      <c r="E346" s="341" t="str">
        <f ca="1">VLOOKUP( Aop!$A346, Aop!$A$2:$P$456, ID_Jezik +10, 1)</f>
        <v>D</v>
      </c>
      <c r="F346" s="364" t="str">
        <f ca="1">REPT( "  ", Aop!$C346) &amp; VLOOKUP( Aop!$A346, Aop!$A$2:$P$456, ID_Jezik + 6, 1)</f>
        <v>UKUPNI ODLIVI GOTOVINE (506 + 531 + 551)</v>
      </c>
      <c r="G346" s="467" t="s">
        <v>1214</v>
      </c>
      <c r="H346" s="309" t="s">
        <v>2845</v>
      </c>
      <c r="I346" s="310" t="s">
        <v>1613</v>
      </c>
      <c r="J346" s="378" t="s">
        <v>973</v>
      </c>
      <c r="K346" s="311" t="s">
        <v>1242</v>
      </c>
      <c r="L346" s="311" t="s">
        <v>1228</v>
      </c>
      <c r="M346" s="311" t="s">
        <v>1242</v>
      </c>
      <c r="N346" s="340" t="s">
        <v>1228</v>
      </c>
      <c r="O346" s="341">
        <v>1</v>
      </c>
      <c r="P346" s="341"/>
    </row>
    <row r="347" spans="1:16" s="354" customFormat="1" ht="12.75" customHeight="1">
      <c r="A347" s="336">
        <f t="shared" si="11"/>
        <v>346</v>
      </c>
      <c r="B347" s="336" t="s">
        <v>1537</v>
      </c>
      <c r="C347" s="336">
        <v>0</v>
      </c>
      <c r="D347" s="336">
        <v>563</v>
      </c>
      <c r="E347" s="341" t="str">
        <f ca="1">VLOOKUP( Aop!$A347, Aop!$A$2:$P$456, ID_Jezik +10, 1)</f>
        <v>Đ</v>
      </c>
      <c r="F347" s="364" t="str">
        <f ca="1">REPT( "  ", Aop!$C347) &amp; VLOOKUP( Aop!$A347, Aop!$A$2:$P$456, ID_Jezik + 6, 1)</f>
        <v>NETO PRILIV GOTOVINE (561 – 562)</v>
      </c>
      <c r="G347" s="467" t="s">
        <v>1215</v>
      </c>
      <c r="H347" s="309" t="s">
        <v>2846</v>
      </c>
      <c r="I347" s="310" t="s">
        <v>1614</v>
      </c>
      <c r="J347" s="378" t="s">
        <v>974</v>
      </c>
      <c r="K347" s="311" t="s">
        <v>1243</v>
      </c>
      <c r="L347" s="311" t="s">
        <v>1229</v>
      </c>
      <c r="M347" s="311" t="s">
        <v>1243</v>
      </c>
      <c r="N347" s="340" t="s">
        <v>1229</v>
      </c>
      <c r="O347" s="341">
        <v>1</v>
      </c>
      <c r="P347" s="341"/>
    </row>
    <row r="348" spans="1:16" s="354" customFormat="1" ht="12.75" customHeight="1">
      <c r="A348" s="336">
        <f t="shared" si="11"/>
        <v>347</v>
      </c>
      <c r="B348" s="336" t="s">
        <v>1537</v>
      </c>
      <c r="C348" s="336">
        <v>0</v>
      </c>
      <c r="D348" s="336">
        <v>564</v>
      </c>
      <c r="E348" s="341" t="str">
        <f ca="1">VLOOKUP( Aop!$A348, Aop!$A$2:$P$456, ID_Jezik +10, 1)</f>
        <v>E</v>
      </c>
      <c r="F348" s="364" t="str">
        <f ca="1">REPT( "  ", Aop!$C348) &amp; VLOOKUP( Aop!$A348, Aop!$A$2:$P$456, ID_Jezik + 6, 1)</f>
        <v>NETO ODLIV GOTOVINE (562 – 561)</v>
      </c>
      <c r="G348" s="467" t="s">
        <v>1216</v>
      </c>
      <c r="H348" s="309" t="s">
        <v>2847</v>
      </c>
      <c r="I348" s="310" t="s">
        <v>1615</v>
      </c>
      <c r="J348" s="378" t="s">
        <v>254</v>
      </c>
      <c r="K348" s="311" t="s">
        <v>1244</v>
      </c>
      <c r="L348" s="311" t="s">
        <v>1230</v>
      </c>
      <c r="M348" s="311" t="s">
        <v>1244</v>
      </c>
      <c r="N348" s="340" t="s">
        <v>1230</v>
      </c>
      <c r="O348" s="341">
        <v>1</v>
      </c>
      <c r="P348" s="341"/>
    </row>
    <row r="349" spans="1:16" s="354" customFormat="1" ht="12.75" customHeight="1">
      <c r="A349" s="336">
        <f t="shared" si="11"/>
        <v>348</v>
      </c>
      <c r="B349" s="336" t="s">
        <v>1537</v>
      </c>
      <c r="C349" s="336">
        <v>0</v>
      </c>
      <c r="D349" s="336">
        <v>565</v>
      </c>
      <c r="E349" s="341" t="str">
        <f ca="1">VLOOKUP( Aop!$A349, Aop!$A$2:$P$456, ID_Jezik +10, 1)</f>
        <v>Ž</v>
      </c>
      <c r="F349" s="364" t="str">
        <f ca="1">REPT( "  ", Aop!$C349) &amp; VLOOKUP( Aop!$A349, Aop!$A$2:$P$456, ID_Jezik + 6, 1)</f>
        <v xml:space="preserve">GOTOVINA NA POČETKU OBRAČUNSKOG PERIODA </v>
      </c>
      <c r="G349" s="467" t="s">
        <v>1217</v>
      </c>
      <c r="H349" s="309" t="s">
        <v>2848</v>
      </c>
      <c r="I349" s="310" t="s">
        <v>1616</v>
      </c>
      <c r="J349" s="378" t="s">
        <v>255</v>
      </c>
      <c r="K349" s="311" t="s">
        <v>1245</v>
      </c>
      <c r="L349" s="311" t="s">
        <v>1231</v>
      </c>
      <c r="M349" s="311" t="s">
        <v>1245</v>
      </c>
      <c r="N349" s="340" t="s">
        <v>1231</v>
      </c>
      <c r="O349" s="341">
        <v>1</v>
      </c>
      <c r="P349" s="341"/>
    </row>
    <row r="350" spans="1:16" s="354" customFormat="1" ht="12.75" customHeight="1">
      <c r="A350" s="336">
        <f t="shared" si="11"/>
        <v>349</v>
      </c>
      <c r="B350" s="336" t="s">
        <v>1537</v>
      </c>
      <c r="C350" s="336">
        <v>0</v>
      </c>
      <c r="D350" s="336">
        <v>566</v>
      </c>
      <c r="E350" s="341" t="str">
        <f ca="1">VLOOKUP( Aop!$A350, Aop!$A$2:$P$456, ID_Jezik +10, 1)</f>
        <v>Z</v>
      </c>
      <c r="F350" s="364" t="str">
        <f ca="1">REPT( "  ", Aop!$C350) &amp; VLOOKUP( Aop!$A350, Aop!$A$2:$P$456, ID_Jezik + 6, 1)</f>
        <v>POZITIVNE KURSNE RAZLIKE PO OSNOVU PRERAČUNA GOTOVINE</v>
      </c>
      <c r="G350" s="467" t="s">
        <v>1218</v>
      </c>
      <c r="H350" s="309" t="s">
        <v>2849</v>
      </c>
      <c r="I350" s="310" t="s">
        <v>1617</v>
      </c>
      <c r="J350" s="378" t="s">
        <v>256</v>
      </c>
      <c r="K350" s="311" t="s">
        <v>1246</v>
      </c>
      <c r="L350" s="311" t="s">
        <v>1232</v>
      </c>
      <c r="M350" s="311" t="s">
        <v>1246</v>
      </c>
      <c r="N350" s="340" t="s">
        <v>1232</v>
      </c>
      <c r="O350" s="341">
        <v>1</v>
      </c>
      <c r="P350" s="341"/>
    </row>
    <row r="351" spans="1:16" s="354" customFormat="1" ht="12.75" customHeight="1">
      <c r="A351" s="336">
        <f t="shared" si="11"/>
        <v>350</v>
      </c>
      <c r="B351" s="336" t="s">
        <v>1537</v>
      </c>
      <c r="C351" s="336">
        <v>0</v>
      </c>
      <c r="D351" s="336">
        <v>567</v>
      </c>
      <c r="E351" s="341" t="str">
        <f ca="1">VLOOKUP( Aop!$A351, Aop!$A$2:$P$456, ID_Jezik +10, 1)</f>
        <v>I</v>
      </c>
      <c r="F351" s="364" t="str">
        <f ca="1">REPT( "  ", Aop!$C351) &amp; VLOOKUP( Aop!$A351, Aop!$A$2:$P$456, ID_Jezik + 6, 1)</f>
        <v>NEGATIVNE KURSNE RAZLIKE PO OSNOVU PRERAČUNA GOTOVINE</v>
      </c>
      <c r="G351" s="467" t="s">
        <v>1219</v>
      </c>
      <c r="H351" s="309" t="s">
        <v>2850</v>
      </c>
      <c r="I351" s="310" t="s">
        <v>1618</v>
      </c>
      <c r="J351" s="378" t="s">
        <v>257</v>
      </c>
      <c r="K351" s="311" t="s">
        <v>1247</v>
      </c>
      <c r="L351" s="311" t="s">
        <v>1233</v>
      </c>
      <c r="M351" s="311" t="s">
        <v>1247</v>
      </c>
      <c r="N351" s="340" t="s">
        <v>1233</v>
      </c>
      <c r="O351" s="341">
        <v>1</v>
      </c>
      <c r="P351" s="341"/>
    </row>
    <row r="352" spans="1:16" s="354" customFormat="1" ht="12.75" customHeight="1">
      <c r="A352" s="344">
        <f t="shared" si="11"/>
        <v>351</v>
      </c>
      <c r="B352" s="344" t="s">
        <v>1537</v>
      </c>
      <c r="C352" s="344">
        <v>0</v>
      </c>
      <c r="D352" s="344">
        <v>568</v>
      </c>
      <c r="E352" s="345" t="str">
        <f ca="1">VLOOKUP( Aop!$A352, Aop!$A$2:$P$456, ID_Jezik +10, 1)</f>
        <v>J</v>
      </c>
      <c r="F352" s="365" t="str">
        <f ca="1">REPT( "  ", Aop!$C352) &amp; VLOOKUP( Aop!$A352, Aop!$A$2:$P$456, ID_Jezik + 6, 1)</f>
        <v>GOTOVINA NA KRAJU OBRAČUNSKOG PERIODA (565 + 563 – 564 + 566 – 567)</v>
      </c>
      <c r="G352" s="468" t="s">
        <v>1220</v>
      </c>
      <c r="H352" s="346" t="s">
        <v>2851</v>
      </c>
      <c r="I352" s="310" t="s">
        <v>1619</v>
      </c>
      <c r="J352" s="378" t="s">
        <v>258</v>
      </c>
      <c r="K352" s="347" t="s">
        <v>1248</v>
      </c>
      <c r="L352" s="347" t="s">
        <v>1234</v>
      </c>
      <c r="M352" s="347" t="s">
        <v>1248</v>
      </c>
      <c r="N352" s="340" t="s">
        <v>1234</v>
      </c>
      <c r="O352" s="345">
        <v>1</v>
      </c>
      <c r="P352" s="345"/>
    </row>
    <row r="353" spans="1:16" ht="25.5">
      <c r="A353">
        <f t="shared" ref="A353:A415" si="12">ROW()-ROW($A$1)</f>
        <v>352</v>
      </c>
      <c r="B353" t="s">
        <v>1538</v>
      </c>
      <c r="C353">
        <v>0</v>
      </c>
      <c r="D353">
        <v>601</v>
      </c>
      <c r="E353" s="2" t="str">
        <f ca="1">VLOOKUP( Aop!$A353, Aop!$A$2:$P$456, ID_Jezik +10, 1)</f>
        <v>010</v>
      </c>
      <c r="F353" t="str">
        <f ca="1">REPT( "  ", Aop!$C353) &amp; VLOOKUP( Aop!$A353, Aop!$A$2:$P$456, ID_Jezik + 6, 1)</f>
        <v>Ulaganja u istraživanje i razvoj (dugovni promet bez početnog stanja)</v>
      </c>
      <c r="G353" s="285" t="s">
        <v>1817</v>
      </c>
      <c r="H353" s="283" t="s">
        <v>1818</v>
      </c>
      <c r="I353" s="283" t="s">
        <v>1819</v>
      </c>
      <c r="J353" s="381" t="s">
        <v>1164</v>
      </c>
      <c r="K353" s="289" t="s">
        <v>2108</v>
      </c>
      <c r="L353" s="289" t="s">
        <v>2108</v>
      </c>
      <c r="M353" s="289" t="s">
        <v>2108</v>
      </c>
      <c r="N353" s="329">
        <v>10</v>
      </c>
      <c r="O353" s="10"/>
      <c r="P353" s="10"/>
    </row>
    <row r="354" spans="1:16" ht="14.25" customHeight="1">
      <c r="A354">
        <f t="shared" si="12"/>
        <v>353</v>
      </c>
      <c r="B354" t="s">
        <v>1538</v>
      </c>
      <c r="C354">
        <v>0</v>
      </c>
      <c r="D354">
        <v>602</v>
      </c>
      <c r="E354" s="2" t="str">
        <f ca="1">VLOOKUP( Aop!$A354, Aop!$A$2:$P$456, ID_Jezik +10, 1)</f>
        <v>201, dio 200</v>
      </c>
      <c r="F354" t="str">
        <f ca="1">REPT( "  ", Aop!$C354) &amp; VLOOKUP( Aop!$A354, Aop!$A$2:$P$456, ID_Jezik + 6, 1)</f>
        <v>Kupci iz Republike Srpske i kupci - povezana pravna lica iz RS (dugovni promet bez početnog stanja)</v>
      </c>
      <c r="G354" s="285" t="s">
        <v>1820</v>
      </c>
      <c r="H354" s="283" t="s">
        <v>1821</v>
      </c>
      <c r="I354" s="283" t="s">
        <v>1822</v>
      </c>
      <c r="J354" s="382" t="s">
        <v>1165</v>
      </c>
      <c r="K354" s="289" t="s">
        <v>2020</v>
      </c>
      <c r="L354" s="300" t="s">
        <v>2021</v>
      </c>
      <c r="M354" s="289" t="s">
        <v>2022</v>
      </c>
      <c r="N354" s="60" t="s">
        <v>522</v>
      </c>
      <c r="O354" s="10"/>
      <c r="P354" s="10">
        <v>1</v>
      </c>
    </row>
    <row r="355" spans="1:16" ht="14.25" customHeight="1">
      <c r="A355">
        <f t="shared" si="12"/>
        <v>354</v>
      </c>
      <c r="B355" t="s">
        <v>1538</v>
      </c>
      <c r="C355">
        <v>0</v>
      </c>
      <c r="D355">
        <v>603</v>
      </c>
      <c r="E355" s="2" t="str">
        <f ca="1">VLOOKUP( Aop!$A355, Aop!$A$2:$P$456, ID_Jezik +10, 1)</f>
        <v>202, dio 200</v>
      </c>
      <c r="F355" t="str">
        <f ca="1">REPT( "  ", Aop!$C355) &amp; VLOOKUP( Aop!$A355, Aop!$A$2:$P$456, ID_Jezik + 6, 1)</f>
        <v>Kupci iz Federacije BiH i kupci - povezana pravna lica iz FBiH (dugovni promet bez početnog stanja)</v>
      </c>
      <c r="G355" s="285" t="s">
        <v>1823</v>
      </c>
      <c r="H355" s="283" t="s">
        <v>1824</v>
      </c>
      <c r="I355" s="283" t="s">
        <v>1825</v>
      </c>
      <c r="J355" s="381" t="s">
        <v>1166</v>
      </c>
      <c r="K355" s="289" t="s">
        <v>2023</v>
      </c>
      <c r="L355" s="300" t="s">
        <v>2024</v>
      </c>
      <c r="M355" s="289" t="s">
        <v>2025</v>
      </c>
      <c r="N355" s="66" t="s">
        <v>523</v>
      </c>
      <c r="O355" s="10"/>
      <c r="P355" s="10">
        <v>1</v>
      </c>
    </row>
    <row r="356" spans="1:16" ht="14.25" customHeight="1">
      <c r="A356">
        <f t="shared" si="12"/>
        <v>355</v>
      </c>
      <c r="B356" t="s">
        <v>1538</v>
      </c>
      <c r="C356">
        <v>0</v>
      </c>
      <c r="D356">
        <v>604</v>
      </c>
      <c r="E356" s="2" t="str">
        <f ca="1">VLOOKUP( Aop!$A356, Aop!$A$2:$P$456, ID_Jezik +10, 1)</f>
        <v>203, dio 200</v>
      </c>
      <c r="F356" t="str">
        <f ca="1">REPT( "  ", Aop!$C356) &amp; VLOOKUP( Aop!$A356, Aop!$A$2:$P$456, ID_Jezik + 6, 1)</f>
        <v>Kupci iz Brčko Distrikta BiH i kupci - povezana pravna lica iz BD (dugovni promet bez početnog stanja)</v>
      </c>
      <c r="G356" s="285" t="s">
        <v>2641</v>
      </c>
      <c r="H356" s="283" t="s">
        <v>2642</v>
      </c>
      <c r="I356" s="283" t="s">
        <v>2643</v>
      </c>
      <c r="J356" s="382" t="s">
        <v>1167</v>
      </c>
      <c r="K356" s="289" t="s">
        <v>2026</v>
      </c>
      <c r="L356" s="289" t="s">
        <v>2027</v>
      </c>
      <c r="M356" s="289" t="s">
        <v>2028</v>
      </c>
      <c r="N356" s="60" t="s">
        <v>524</v>
      </c>
      <c r="O356" s="10"/>
      <c r="P356" s="10">
        <v>1</v>
      </c>
    </row>
    <row r="357" spans="1:16" ht="14.25" customHeight="1">
      <c r="A357">
        <f t="shared" si="12"/>
        <v>356</v>
      </c>
      <c r="B357" t="s">
        <v>1538</v>
      </c>
      <c r="C357">
        <v>0</v>
      </c>
      <c r="D357">
        <v>605</v>
      </c>
      <c r="E357" s="2" t="str">
        <f ca="1">VLOOKUP( Aop!$A357, Aop!$A$2:$P$456, ID_Jezik +10, 1)</f>
        <v>432, dio 431</v>
      </c>
      <c r="F357" t="str">
        <f ca="1">REPT( "  ", Aop!$C357) &amp; VLOOKUP( Aop!$A357, Aop!$A$2:$P$456, ID_Jezik + 6, 1)</f>
        <v>Dobavljači iz Republike Srpske i dobavljači - povezana pravna lica iz RS (potražni promet bez početnog stanja)</v>
      </c>
      <c r="G357" s="285" t="s">
        <v>2644</v>
      </c>
      <c r="H357" s="283" t="s">
        <v>2645</v>
      </c>
      <c r="I357" s="283" t="s">
        <v>2646</v>
      </c>
      <c r="J357" s="381" t="s">
        <v>1168</v>
      </c>
      <c r="K357" s="289" t="s">
        <v>2029</v>
      </c>
      <c r="L357" s="289" t="s">
        <v>2030</v>
      </c>
      <c r="M357" s="289" t="s">
        <v>2031</v>
      </c>
      <c r="N357" s="66" t="s">
        <v>525</v>
      </c>
      <c r="O357" s="10"/>
      <c r="P357" s="10">
        <v>1</v>
      </c>
    </row>
    <row r="358" spans="1:16" ht="14.25" customHeight="1">
      <c r="A358">
        <f t="shared" si="12"/>
        <v>357</v>
      </c>
      <c r="B358" t="s">
        <v>1538</v>
      </c>
      <c r="C358">
        <v>0</v>
      </c>
      <c r="D358">
        <v>606</v>
      </c>
      <c r="E358" s="2" t="str">
        <f ca="1">VLOOKUP( Aop!$A358, Aop!$A$2:$P$456, ID_Jezik +10, 1)</f>
        <v>433, dio 431</v>
      </c>
      <c r="F358" t="str">
        <f ca="1">REPT( "  ", Aop!$C358) &amp; VLOOKUP( Aop!$A358, Aop!$A$2:$P$456, ID_Jezik + 6, 1)</f>
        <v>Dobavljači iz Federacije BiH i dobavljači - povezana pravna lica iz FBiH (potražni promet bez početnog stanja)</v>
      </c>
      <c r="G358" s="285" t="s">
        <v>2647</v>
      </c>
      <c r="H358" s="283" t="s">
        <v>2648</v>
      </c>
      <c r="I358" s="283" t="s">
        <v>2649</v>
      </c>
      <c r="J358" s="381" t="s">
        <v>1169</v>
      </c>
      <c r="K358" s="289" t="s">
        <v>2032</v>
      </c>
      <c r="L358" s="300" t="s">
        <v>2033</v>
      </c>
      <c r="M358" s="289" t="s">
        <v>2034</v>
      </c>
      <c r="N358" s="60" t="s">
        <v>526</v>
      </c>
      <c r="O358" s="10"/>
      <c r="P358" s="10">
        <v>1</v>
      </c>
    </row>
    <row r="359" spans="1:16" ht="14.25" customHeight="1">
      <c r="A359">
        <f t="shared" si="12"/>
        <v>358</v>
      </c>
      <c r="B359" t="s">
        <v>1538</v>
      </c>
      <c r="C359">
        <v>0</v>
      </c>
      <c r="D359">
        <v>607</v>
      </c>
      <c r="E359" s="2" t="str">
        <f ca="1">VLOOKUP( Aop!$A359, Aop!$A$2:$P$456, ID_Jezik +10, 1)</f>
        <v>434, dio 431</v>
      </c>
      <c r="F359" t="str">
        <f ca="1">REPT( "  ", Aop!$C359) &amp; VLOOKUP( Aop!$A359, Aop!$A$2:$P$456, ID_Jezik + 6, 1)</f>
        <v>Dobavljači iz Brčko Distrikta BiH i dobavljači - povezana pravna lica iz DB (potražni promet bez početnog stanja)</v>
      </c>
      <c r="G359" s="285" t="s">
        <v>2650</v>
      </c>
      <c r="H359" s="283" t="s">
        <v>2651</v>
      </c>
      <c r="I359" s="283" t="s">
        <v>2652</v>
      </c>
      <c r="J359" s="381" t="s">
        <v>1170</v>
      </c>
      <c r="K359" s="289" t="s">
        <v>2035</v>
      </c>
      <c r="L359" s="300" t="s">
        <v>2036</v>
      </c>
      <c r="M359" s="289" t="s">
        <v>2037</v>
      </c>
      <c r="N359" s="66" t="s">
        <v>527</v>
      </c>
      <c r="O359" s="10"/>
      <c r="P359" s="10">
        <v>1</v>
      </c>
    </row>
    <row r="360" spans="1:16" ht="14.25" customHeight="1">
      <c r="A360">
        <f t="shared" si="12"/>
        <v>359</v>
      </c>
      <c r="B360" t="s">
        <v>1538</v>
      </c>
      <c r="C360">
        <v>0</v>
      </c>
      <c r="D360">
        <v>608</v>
      </c>
      <c r="E360" s="2" t="str">
        <f ca="1">VLOOKUP( Aop!$A360, Aop!$A$2:$P$456, ID_Jezik +10, 1)</f>
        <v>601, dio 600</v>
      </c>
      <c r="F360" t="str">
        <f ca="1">REPT( "  ", Aop!$C360) &amp; VLOOKUP( Aop!$A360, Aop!$A$2:$P$456, ID_Jezik + 6, 1)</f>
        <v>Prihodi od prodaje robe u Republici Srpskoj i prihodi od prodaje robe povezanim pravnim licima u RS</v>
      </c>
      <c r="G360" s="285" t="s">
        <v>2653</v>
      </c>
      <c r="H360" s="283" t="s">
        <v>2654</v>
      </c>
      <c r="I360" s="283" t="s">
        <v>2655</v>
      </c>
      <c r="J360" s="382" t="s">
        <v>1171</v>
      </c>
      <c r="K360" s="289" t="s">
        <v>2038</v>
      </c>
      <c r="L360" s="300" t="s">
        <v>2039</v>
      </c>
      <c r="M360" s="289" t="s">
        <v>2040</v>
      </c>
      <c r="N360" s="60" t="s">
        <v>528</v>
      </c>
      <c r="O360" s="10"/>
      <c r="P360" s="10">
        <v>1</v>
      </c>
    </row>
    <row r="361" spans="1:16" ht="14.25" customHeight="1">
      <c r="A361">
        <f t="shared" si="12"/>
        <v>360</v>
      </c>
      <c r="B361" t="s">
        <v>1538</v>
      </c>
      <c r="C361">
        <v>0</v>
      </c>
      <c r="D361">
        <v>609</v>
      </c>
      <c r="E361" s="2" t="str">
        <f ca="1">VLOOKUP( Aop!$A361, Aop!$A$2:$P$456, ID_Jezik +10, 1)</f>
        <v>602, dio 600</v>
      </c>
      <c r="F361" t="str">
        <f ca="1">REPT( "  ", Aop!$C361) &amp; VLOOKUP( Aop!$A361, Aop!$A$2:$P$456, ID_Jezik + 6, 1)</f>
        <v>Prihodi od prodaje robe u Federaciji BiH i prihodi od prodaje robe povezanim pravnim licima u FBiH</v>
      </c>
      <c r="G361" s="285" t="s">
        <v>2656</v>
      </c>
      <c r="H361" s="283" t="s">
        <v>2657</v>
      </c>
      <c r="I361" s="283" t="s">
        <v>2658</v>
      </c>
      <c r="J361" s="383" t="s">
        <v>1172</v>
      </c>
      <c r="K361" s="289" t="s">
        <v>2041</v>
      </c>
      <c r="L361" s="300" t="s">
        <v>2042</v>
      </c>
      <c r="M361" s="289" t="s">
        <v>2043</v>
      </c>
      <c r="N361" s="66" t="s">
        <v>529</v>
      </c>
      <c r="O361" s="10"/>
      <c r="P361" s="10">
        <v>1</v>
      </c>
    </row>
    <row r="362" spans="1:16" ht="14.25" customHeight="1">
      <c r="A362">
        <f t="shared" si="12"/>
        <v>361</v>
      </c>
      <c r="B362" t="s">
        <v>1538</v>
      </c>
      <c r="C362">
        <v>0</v>
      </c>
      <c r="D362">
        <v>610</v>
      </c>
      <c r="E362" s="2" t="str">
        <f ca="1">VLOOKUP( Aop!$A362, Aop!$A$2:$P$456, ID_Jezik +10, 1)</f>
        <v>603, dio 600</v>
      </c>
      <c r="F362" t="str">
        <f ca="1">REPT( "  ", Aop!$C362) &amp; VLOOKUP( Aop!$A362, Aop!$A$2:$P$456, ID_Jezik + 6, 1)</f>
        <v>Prihodi od prodaje robe u Brčko Distriktu BiH i prihodi od prodaje robe povezanim pravnim licima u BD</v>
      </c>
      <c r="G362" s="285" t="s">
        <v>2659</v>
      </c>
      <c r="H362" s="283" t="s">
        <v>2660</v>
      </c>
      <c r="I362" s="283" t="s">
        <v>2661</v>
      </c>
      <c r="J362" s="382" t="s">
        <v>1173</v>
      </c>
      <c r="K362" s="289" t="s">
        <v>2044</v>
      </c>
      <c r="L362" s="300" t="s">
        <v>2045</v>
      </c>
      <c r="M362" s="289" t="s">
        <v>2046</v>
      </c>
      <c r="N362" s="60" t="s">
        <v>530</v>
      </c>
      <c r="O362" s="10"/>
      <c r="P362" s="10">
        <v>1</v>
      </c>
    </row>
    <row r="363" spans="1:16" ht="14.25" customHeight="1">
      <c r="A363">
        <f t="shared" si="12"/>
        <v>362</v>
      </c>
      <c r="B363" t="s">
        <v>1538</v>
      </c>
      <c r="C363">
        <v>0</v>
      </c>
      <c r="D363">
        <v>611</v>
      </c>
      <c r="E363" s="2" t="str">
        <f ca="1">VLOOKUP( Aop!$A363, Aop!$A$2:$P$456, ID_Jezik +10, 1)</f>
        <v>dio 61</v>
      </c>
      <c r="F363" t="str">
        <f ca="1">REPT( "  ", Aop!$C363) &amp; VLOOKUP( Aop!$A363, Aop!$A$2:$P$456, ID_Jezik + 6, 1)</f>
        <v>Prihodi od prodaje proizvoda</v>
      </c>
      <c r="G363" s="285" t="s">
        <v>2124</v>
      </c>
      <c r="H363" s="283" t="s">
        <v>2153</v>
      </c>
      <c r="I363" s="283" t="s">
        <v>2141</v>
      </c>
      <c r="J363" s="382" t="s">
        <v>1174</v>
      </c>
      <c r="K363" s="289" t="s">
        <v>2119</v>
      </c>
      <c r="L363" s="300" t="s">
        <v>2123</v>
      </c>
      <c r="M363" s="289" t="s">
        <v>2122</v>
      </c>
      <c r="N363" s="60" t="s">
        <v>531</v>
      </c>
      <c r="O363" s="10"/>
      <c r="P363" s="10"/>
    </row>
    <row r="364" spans="1:16" ht="14.25" customHeight="1">
      <c r="A364">
        <f t="shared" si="12"/>
        <v>363</v>
      </c>
      <c r="B364" t="s">
        <v>1538</v>
      </c>
      <c r="C364">
        <v>0</v>
      </c>
      <c r="D364">
        <v>612</v>
      </c>
      <c r="E364" s="2" t="str">
        <f ca="1">VLOOKUP( Aop!$A364, Aop!$A$2:$P$456, ID_Jezik +10, 1)</f>
        <v>dio 61</v>
      </c>
      <c r="F364" t="str">
        <f ca="1">REPT( "  ", Aop!$C364) &amp; VLOOKUP( Aop!$A364, Aop!$A$2:$P$456, ID_Jezik + 6, 1)</f>
        <v>Prihodi od prodaje usluga</v>
      </c>
      <c r="G364" s="285" t="s">
        <v>2125</v>
      </c>
      <c r="H364" s="283" t="s">
        <v>2152</v>
      </c>
      <c r="I364" s="283" t="s">
        <v>2142</v>
      </c>
      <c r="J364" s="382" t="s">
        <v>1175</v>
      </c>
      <c r="K364" s="289" t="s">
        <v>2119</v>
      </c>
      <c r="L364" s="300" t="s">
        <v>2123</v>
      </c>
      <c r="M364" s="289" t="s">
        <v>2122</v>
      </c>
      <c r="N364" s="60" t="s">
        <v>531</v>
      </c>
      <c r="O364" s="10"/>
      <c r="P364" s="10"/>
    </row>
    <row r="365" spans="1:16" ht="14.25" customHeight="1">
      <c r="A365">
        <f t="shared" si="12"/>
        <v>364</v>
      </c>
      <c r="B365" t="s">
        <v>1538</v>
      </c>
      <c r="C365">
        <v>0</v>
      </c>
      <c r="D365">
        <v>613</v>
      </c>
      <c r="E365" s="2" t="str">
        <f ca="1">VLOOKUP( Aop!$A365, Aop!$A$2:$P$456, ID_Jezik +10, 1)</f>
        <v>611, dio 610</v>
      </c>
      <c r="F365" t="str">
        <f ca="1">REPT( "  ", Aop!$C365) &amp; VLOOKUP( Aop!$A365, Aop!$A$2:$P$456, ID_Jezik + 6, 1)</f>
        <v>Prihodi od prodaje učinaka u Republici Srpskoj i prihodi od prodaje učinaka povezanim pravnim licima u RS</v>
      </c>
      <c r="G365" s="285" t="s">
        <v>2662</v>
      </c>
      <c r="H365" s="283" t="s">
        <v>2663</v>
      </c>
      <c r="I365" s="283" t="s">
        <v>2664</v>
      </c>
      <c r="J365" s="381" t="s">
        <v>1176</v>
      </c>
      <c r="K365" s="289" t="s">
        <v>2047</v>
      </c>
      <c r="L365" s="300" t="s">
        <v>2048</v>
      </c>
      <c r="M365" s="289" t="s">
        <v>2049</v>
      </c>
      <c r="N365" s="66" t="s">
        <v>532</v>
      </c>
      <c r="O365" s="10"/>
      <c r="P365" s="10">
        <v>1</v>
      </c>
    </row>
    <row r="366" spans="1:16" ht="14.25" customHeight="1">
      <c r="A366">
        <f t="shared" si="12"/>
        <v>365</v>
      </c>
      <c r="B366" t="s">
        <v>1538</v>
      </c>
      <c r="C366">
        <v>0</v>
      </c>
      <c r="D366">
        <v>614</v>
      </c>
      <c r="E366" s="2" t="str">
        <f ca="1">VLOOKUP( Aop!$A366, Aop!$A$2:$P$456, ID_Jezik +10, 1)</f>
        <v>612, dio 610</v>
      </c>
      <c r="F366" t="str">
        <f ca="1">REPT( "  ", Aop!$C366) &amp; VLOOKUP( Aop!$A366, Aop!$A$2:$P$456, ID_Jezik + 6, 1)</f>
        <v>Prihodi od prodaje učinaka u Federaciji BiH i prihodi od prodaje učinaka povezanim pravnim licima u FBiH</v>
      </c>
      <c r="G366" s="285" t="s">
        <v>2665</v>
      </c>
      <c r="H366" s="283" t="s">
        <v>2666</v>
      </c>
      <c r="I366" s="283" t="s">
        <v>2667</v>
      </c>
      <c r="J366" s="382" t="s">
        <v>1177</v>
      </c>
      <c r="K366" s="289" t="s">
        <v>2050</v>
      </c>
      <c r="L366" s="289" t="s">
        <v>2051</v>
      </c>
      <c r="M366" s="289" t="s">
        <v>2052</v>
      </c>
      <c r="N366" s="60" t="s">
        <v>533</v>
      </c>
      <c r="O366" s="10"/>
      <c r="P366" s="10" t="s">
        <v>2140</v>
      </c>
    </row>
    <row r="367" spans="1:16" ht="16.5" customHeight="1">
      <c r="A367">
        <f t="shared" si="12"/>
        <v>366</v>
      </c>
      <c r="B367" t="s">
        <v>1538</v>
      </c>
      <c r="C367">
        <v>0</v>
      </c>
      <c r="D367">
        <v>615</v>
      </c>
      <c r="E367" s="2" t="str">
        <f ca="1">VLOOKUP( Aop!$A367, Aop!$A$2:$P$456, ID_Jezik +10, 1)</f>
        <v>613, dio 610</v>
      </c>
      <c r="F367" t="str">
        <f ca="1">REPT( "  ", Aop!$C367) &amp; VLOOKUP( Aop!$A367, Aop!$A$2:$P$456, ID_Jezik + 6, 1)</f>
        <v>Prihodi od prodaje učinaka u Brčko Distriktu BiH i prihodi od prodaje učinaka povezanim pravnim licima u BD</v>
      </c>
      <c r="G367" s="285" t="s">
        <v>2668</v>
      </c>
      <c r="H367" s="283" t="s">
        <v>2669</v>
      </c>
      <c r="I367" s="283" t="s">
        <v>2670</v>
      </c>
      <c r="J367" s="381" t="s">
        <v>1178</v>
      </c>
      <c r="K367" s="289" t="s">
        <v>2053</v>
      </c>
      <c r="L367" s="289" t="s">
        <v>2054</v>
      </c>
      <c r="M367" s="289" t="s">
        <v>2055</v>
      </c>
      <c r="N367" s="66" t="s">
        <v>534</v>
      </c>
      <c r="O367" s="10"/>
      <c r="P367" s="10" t="s">
        <v>2140</v>
      </c>
    </row>
    <row r="368" spans="1:16">
      <c r="A368">
        <f t="shared" si="12"/>
        <v>367</v>
      </c>
      <c r="B368" t="s">
        <v>1538</v>
      </c>
      <c r="C368">
        <v>0</v>
      </c>
      <c r="D368">
        <v>616</v>
      </c>
      <c r="E368" s="2" t="str">
        <f ca="1">VLOOKUP( Aop!$A368, Aop!$A$2:$P$456, ID_Jezik +10, 1)</f>
        <v>dio 611</v>
      </c>
      <c r="F368" t="str">
        <f ca="1">REPT( "  ", Aop!$C368) &amp; VLOOKUP( Aop!$A368, Aop!$A$2:$P$456, ID_Jezik + 6, 1)</f>
        <v>Prihodi od prodaje usluga u Republici Srpskoj</v>
      </c>
      <c r="G368" s="285" t="s">
        <v>2671</v>
      </c>
      <c r="H368" s="283" t="s">
        <v>2672</v>
      </c>
      <c r="I368" s="283" t="s">
        <v>2673</v>
      </c>
      <c r="J368" s="382" t="s">
        <v>1179</v>
      </c>
      <c r="K368" s="289" t="s">
        <v>2480</v>
      </c>
      <c r="L368" s="289" t="s">
        <v>2056</v>
      </c>
      <c r="M368" s="289" t="s">
        <v>2487</v>
      </c>
      <c r="N368" s="330" t="s">
        <v>535</v>
      </c>
      <c r="O368" s="10"/>
      <c r="P368" s="10"/>
    </row>
    <row r="369" spans="1:16">
      <c r="A369">
        <f t="shared" si="12"/>
        <v>368</v>
      </c>
      <c r="B369" t="s">
        <v>1538</v>
      </c>
      <c r="C369">
        <v>0</v>
      </c>
      <c r="D369">
        <v>617</v>
      </c>
      <c r="E369" s="2" t="str">
        <f ca="1">VLOOKUP( Aop!$A369, Aop!$A$2:$P$456, ID_Jezik +10, 1)</f>
        <v>dio 612</v>
      </c>
      <c r="F369" t="str">
        <f ca="1">REPT( "  ", Aop!$C369) &amp; VLOOKUP( Aop!$A369, Aop!$A$2:$P$456, ID_Jezik + 6, 1)</f>
        <v>Prihodi od prodaje usluga u Federaciji BiH</v>
      </c>
      <c r="G369" s="285" t="s">
        <v>2674</v>
      </c>
      <c r="H369" s="283" t="s">
        <v>2675</v>
      </c>
      <c r="I369" s="283" t="s">
        <v>2676</v>
      </c>
      <c r="J369" s="381" t="s">
        <v>1180</v>
      </c>
      <c r="K369" s="289" t="s">
        <v>2479</v>
      </c>
      <c r="L369" s="300" t="s">
        <v>2057</v>
      </c>
      <c r="M369" s="289" t="s">
        <v>2486</v>
      </c>
      <c r="N369" s="66" t="s">
        <v>536</v>
      </c>
      <c r="O369" s="10"/>
      <c r="P369" s="10"/>
    </row>
    <row r="370" spans="1:16">
      <c r="A370">
        <f t="shared" si="12"/>
        <v>369</v>
      </c>
      <c r="B370" t="s">
        <v>1538</v>
      </c>
      <c r="C370">
        <v>0</v>
      </c>
      <c r="D370">
        <v>618</v>
      </c>
      <c r="E370" s="2" t="str">
        <f ca="1">VLOOKUP( Aop!$A370, Aop!$A$2:$P$456, ID_Jezik +10, 1)</f>
        <v>dio 613</v>
      </c>
      <c r="F370" t="str">
        <f ca="1">REPT( "  ", Aop!$C370) &amp; VLOOKUP( Aop!$A370, Aop!$A$2:$P$456, ID_Jezik + 6, 1)</f>
        <v>Prihodi od prodaje usluga u Brčko Distriktu BiH</v>
      </c>
      <c r="G370" s="285" t="s">
        <v>2677</v>
      </c>
      <c r="H370" s="283" t="s">
        <v>2678</v>
      </c>
      <c r="I370" s="283" t="s">
        <v>2679</v>
      </c>
      <c r="J370" s="382" t="s">
        <v>1181</v>
      </c>
      <c r="K370" s="289" t="s">
        <v>2058</v>
      </c>
      <c r="L370" s="300" t="s">
        <v>2059</v>
      </c>
      <c r="M370" s="289" t="s">
        <v>2060</v>
      </c>
      <c r="N370" s="60" t="s">
        <v>537</v>
      </c>
      <c r="O370" s="10"/>
      <c r="P370" s="10"/>
    </row>
    <row r="371" spans="1:16">
      <c r="A371">
        <f t="shared" si="12"/>
        <v>370</v>
      </c>
      <c r="B371" t="s">
        <v>1538</v>
      </c>
      <c r="C371">
        <v>0</v>
      </c>
      <c r="D371">
        <v>619</v>
      </c>
      <c r="E371" s="2">
        <f ca="1">VLOOKUP( Aop!$A371, Aop!$A$2:$P$456, ID_Jezik +10, 1)</f>
        <v>65</v>
      </c>
      <c r="F371" t="str">
        <f ca="1">REPT( "  ", Aop!$C371) &amp; VLOOKUP( Aop!$A371, Aop!$A$2:$P$456, ID_Jezik + 6, 1)</f>
        <v>OSTALI POSLOVNI PRIHODI (620 + 623 + 624 + 625 + 626 + 627 + 628)</v>
      </c>
      <c r="G371" s="285" t="s">
        <v>2126</v>
      </c>
      <c r="H371" s="283" t="s">
        <v>2881</v>
      </c>
      <c r="I371" s="283" t="s">
        <v>2882</v>
      </c>
      <c r="J371" s="384" t="s">
        <v>1182</v>
      </c>
      <c r="K371" s="289">
        <v>65</v>
      </c>
      <c r="L371" s="300">
        <v>65</v>
      </c>
      <c r="M371" s="289">
        <v>65</v>
      </c>
      <c r="N371" s="331">
        <v>65</v>
      </c>
      <c r="O371" s="10">
        <v>1</v>
      </c>
      <c r="P371" s="10"/>
    </row>
    <row r="372" spans="1:16" ht="17.25" customHeight="1">
      <c r="A372">
        <f t="shared" si="12"/>
        <v>371</v>
      </c>
      <c r="B372" t="s">
        <v>1538</v>
      </c>
      <c r="C372">
        <v>1</v>
      </c>
      <c r="D372">
        <v>620</v>
      </c>
      <c r="E372" s="2">
        <f ca="1">VLOOKUP( Aop!$A372, Aop!$A$2:$P$456, ID_Jezik +10, 1)</f>
        <v>650</v>
      </c>
      <c r="F372" t="str">
        <f ca="1">REPT( "  ", Aop!$C372) &amp; VLOOKUP( Aop!$A372, Aop!$A$2:$P$456, ID_Jezik + 6, 1)</f>
        <v xml:space="preserve">  a) Prihodi od premija, subvencija, dotacija, regresa, podsticaja i slično</v>
      </c>
      <c r="G372" s="285" t="s">
        <v>2680</v>
      </c>
      <c r="H372" s="283" t="s">
        <v>2681</v>
      </c>
      <c r="I372" s="283" t="s">
        <v>2495</v>
      </c>
      <c r="J372" s="382" t="s">
        <v>1183</v>
      </c>
      <c r="K372" s="289">
        <v>650</v>
      </c>
      <c r="L372" s="300">
        <v>650</v>
      </c>
      <c r="M372" s="289">
        <v>650</v>
      </c>
      <c r="N372" s="330">
        <v>650</v>
      </c>
      <c r="O372" s="10"/>
      <c r="P372" s="10"/>
    </row>
    <row r="373" spans="1:16" ht="17.25" customHeight="1">
      <c r="A373">
        <f t="shared" si="12"/>
        <v>372</v>
      </c>
      <c r="B373" t="s">
        <v>1538</v>
      </c>
      <c r="C373">
        <v>2</v>
      </c>
      <c r="D373">
        <v>621</v>
      </c>
      <c r="E373" s="2" t="str">
        <f ca="1">VLOOKUP( Aop!$A373, Aop!$A$2:$P$456, ID_Jezik +10, 1)</f>
        <v>dio 650</v>
      </c>
      <c r="F373" t="str">
        <f ca="1">REPT( "  ", Aop!$C373) &amp; VLOOKUP( Aop!$A373, Aop!$A$2:$P$456, ID_Jezik + 6, 1)</f>
        <v xml:space="preserve">    Od toga: prihodi po osnovu subvencija na proizvode (subvencije koje se mogu prikazati po jedinici proizvoda, npr. vozna karta, brašno, hljeb, mlijeko i dr.)</v>
      </c>
      <c r="G373" s="285" t="s">
        <v>2496</v>
      </c>
      <c r="H373" s="283" t="s">
        <v>2682</v>
      </c>
      <c r="I373" s="283" t="s">
        <v>2497</v>
      </c>
      <c r="J373" s="381" t="s">
        <v>1184</v>
      </c>
      <c r="K373" s="289" t="s">
        <v>1440</v>
      </c>
      <c r="L373" s="300" t="s">
        <v>2061</v>
      </c>
      <c r="M373" s="289" t="s">
        <v>2488</v>
      </c>
      <c r="N373" s="66" t="s">
        <v>538</v>
      </c>
      <c r="O373" s="10"/>
      <c r="P373" s="10">
        <v>1</v>
      </c>
    </row>
    <row r="374" spans="1:16" ht="25.5">
      <c r="A374">
        <f t="shared" si="12"/>
        <v>373</v>
      </c>
      <c r="B374" t="s">
        <v>1538</v>
      </c>
      <c r="C374">
        <v>2</v>
      </c>
      <c r="D374">
        <v>622</v>
      </c>
      <c r="E374" s="2" t="str">
        <f ca="1">VLOOKUP( Aop!$A374, Aop!$A$2:$P$456, ID_Jezik +10, 1)</f>
        <v>dio 650</v>
      </c>
      <c r="F374" t="str">
        <f ca="1">REPT( "  ", Aop!$C374) &amp; VLOOKUP( Aop!$A374, Aop!$A$2:$P$456, ID_Jezik + 6, 1)</f>
        <v xml:space="preserve">    Od toga: prihodi po osnovu subvencija na proizvodnju (na zapošljavanje, platu, kamatnu stopu, za smanjenje zagađenja i dr.)</v>
      </c>
      <c r="G374" s="285" t="s">
        <v>2872</v>
      </c>
      <c r="H374" s="283" t="s">
        <v>2873</v>
      </c>
      <c r="I374" s="283" t="s">
        <v>2874</v>
      </c>
      <c r="J374" s="382" t="s">
        <v>1185</v>
      </c>
      <c r="K374" s="300" t="s">
        <v>1440</v>
      </c>
      <c r="L374" s="289" t="s">
        <v>2061</v>
      </c>
      <c r="M374" s="289" t="s">
        <v>2488</v>
      </c>
      <c r="N374" s="60" t="s">
        <v>538</v>
      </c>
      <c r="O374" s="10"/>
      <c r="P374" s="10">
        <v>1</v>
      </c>
    </row>
    <row r="375" spans="1:16">
      <c r="A375">
        <f t="shared" si="12"/>
        <v>374</v>
      </c>
      <c r="B375" t="s">
        <v>1538</v>
      </c>
      <c r="C375">
        <v>1</v>
      </c>
      <c r="D375">
        <v>623</v>
      </c>
      <c r="E375" s="2">
        <f ca="1">VLOOKUP( Aop!$A375, Aop!$A$2:$P$456, ID_Jezik +10, 1)</f>
        <v>651</v>
      </c>
      <c r="F375" t="str">
        <f ca="1">REPT( "  ", Aop!$C375) &amp; VLOOKUP( Aop!$A375, Aop!$A$2:$P$456, ID_Jezik + 6, 1)</f>
        <v xml:space="preserve">  b) Prihod od zakupnina</v>
      </c>
      <c r="G375" s="285" t="s">
        <v>2498</v>
      </c>
      <c r="H375" s="283" t="s">
        <v>2683</v>
      </c>
      <c r="I375" s="283" t="s">
        <v>2499</v>
      </c>
      <c r="J375" s="381" t="s">
        <v>1186</v>
      </c>
      <c r="K375" s="300">
        <v>651</v>
      </c>
      <c r="L375" s="289">
        <v>651</v>
      </c>
      <c r="M375" s="289">
        <v>651</v>
      </c>
      <c r="N375" s="66">
        <v>651</v>
      </c>
      <c r="O375" s="10"/>
      <c r="P375" s="10"/>
    </row>
    <row r="376" spans="1:16">
      <c r="A376">
        <f t="shared" si="12"/>
        <v>375</v>
      </c>
      <c r="B376" t="s">
        <v>1538</v>
      </c>
      <c r="C376">
        <v>1</v>
      </c>
      <c r="D376">
        <v>624</v>
      </c>
      <c r="E376" s="2">
        <f ca="1">VLOOKUP( Aop!$A376, Aop!$A$2:$P$456, ID_Jezik +10, 1)</f>
        <v>652</v>
      </c>
      <c r="F376" t="str">
        <f ca="1">REPT( "  ", Aop!$C376) &amp; VLOOKUP( Aop!$A376, Aop!$A$2:$P$456, ID_Jezik + 6, 1)</f>
        <v xml:space="preserve">  c) Prihod od donacija</v>
      </c>
      <c r="G376" s="285" t="s">
        <v>613</v>
      </c>
      <c r="H376" s="283" t="s">
        <v>2684</v>
      </c>
      <c r="I376" s="283" t="s">
        <v>2500</v>
      </c>
      <c r="J376" s="382" t="s">
        <v>1187</v>
      </c>
      <c r="K376" s="289">
        <v>652</v>
      </c>
      <c r="L376" s="300">
        <v>652</v>
      </c>
      <c r="M376" s="300">
        <v>652</v>
      </c>
      <c r="N376" s="60">
        <v>652</v>
      </c>
      <c r="O376" s="10"/>
      <c r="P376" s="10"/>
    </row>
    <row r="377" spans="1:16">
      <c r="A377">
        <f t="shared" si="12"/>
        <v>376</v>
      </c>
      <c r="B377" t="s">
        <v>1538</v>
      </c>
      <c r="C377">
        <v>1</v>
      </c>
      <c r="D377">
        <v>625</v>
      </c>
      <c r="E377" s="2">
        <f ca="1">VLOOKUP( Aop!$A377, Aop!$A$2:$P$456, ID_Jezik +10, 1)</f>
        <v>653</v>
      </c>
      <c r="F377" t="str">
        <f ca="1">REPT( "  ", Aop!$C377) &amp; VLOOKUP( Aop!$A377, Aop!$A$2:$P$456, ID_Jezik + 6, 1)</f>
        <v xml:space="preserve">  d) Prihod od članarina</v>
      </c>
      <c r="G377" s="285" t="s">
        <v>614</v>
      </c>
      <c r="H377" s="283" t="s">
        <v>2685</v>
      </c>
      <c r="I377" s="283" t="s">
        <v>2501</v>
      </c>
      <c r="J377" s="381" t="s">
        <v>1188</v>
      </c>
      <c r="K377" s="289">
        <v>653</v>
      </c>
      <c r="L377" s="300">
        <v>653</v>
      </c>
      <c r="M377" s="300">
        <v>653</v>
      </c>
      <c r="N377" s="66">
        <v>653</v>
      </c>
      <c r="O377" s="10"/>
      <c r="P377" s="10"/>
    </row>
    <row r="378" spans="1:16">
      <c r="A378">
        <f t="shared" si="12"/>
        <v>377</v>
      </c>
      <c r="B378" s="78" t="s">
        <v>1538</v>
      </c>
      <c r="C378">
        <v>1</v>
      </c>
      <c r="D378" s="79">
        <v>626</v>
      </c>
      <c r="E378" s="80">
        <f ca="1">VLOOKUP( Aop!$A378, Aop!$A$2:$P$456, ID_Jezik +10, 1)</f>
        <v>654</v>
      </c>
      <c r="F378" s="79" t="str">
        <f ca="1">REPT( "  ", Aop!$C378) &amp; VLOOKUP( Aop!$A378, Aop!$A$2:$P$456, ID_Jezik + 6, 1)</f>
        <v xml:space="preserve">  e) Prihod od tantijema i licencnih prava</v>
      </c>
      <c r="G378" s="296" t="s">
        <v>615</v>
      </c>
      <c r="H378" s="283" t="s">
        <v>2686</v>
      </c>
      <c r="I378" s="283" t="s">
        <v>2502</v>
      </c>
      <c r="J378" s="382" t="s">
        <v>1189</v>
      </c>
      <c r="K378" s="297">
        <v>654</v>
      </c>
      <c r="L378" s="300">
        <v>654</v>
      </c>
      <c r="M378" s="289">
        <v>654</v>
      </c>
      <c r="N378" s="60">
        <v>654</v>
      </c>
      <c r="O378" s="10"/>
      <c r="P378" s="10"/>
    </row>
    <row r="379" spans="1:16">
      <c r="A379">
        <f t="shared" si="12"/>
        <v>378</v>
      </c>
      <c r="B379" s="78" t="s">
        <v>1538</v>
      </c>
      <c r="C379">
        <v>1</v>
      </c>
      <c r="D379" s="79">
        <v>627</v>
      </c>
      <c r="E379" s="80">
        <f ca="1">VLOOKUP( Aop!$A379, Aop!$A$2:$P$456, ID_Jezik +10, 1)</f>
        <v>655</v>
      </c>
      <c r="F379" s="79" t="str">
        <f ca="1">REPT( "  ", Aop!$C379) &amp; VLOOKUP( Aop!$A379, Aop!$A$2:$P$456, ID_Jezik + 6, 1)</f>
        <v xml:space="preserve">  f) Prihod iz namjenskih izvora finansiranja (iz budžeta, fondova i dr.)</v>
      </c>
      <c r="G379" s="296" t="s">
        <v>616</v>
      </c>
      <c r="H379" s="283" t="s">
        <v>2687</v>
      </c>
      <c r="I379" s="283" t="s">
        <v>2503</v>
      </c>
      <c r="J379" s="381" t="s">
        <v>1190</v>
      </c>
      <c r="K379" s="297">
        <v>655</v>
      </c>
      <c r="L379" s="289">
        <v>655</v>
      </c>
      <c r="M379" s="289">
        <v>655</v>
      </c>
      <c r="N379" s="66">
        <v>655</v>
      </c>
      <c r="O379" s="10"/>
      <c r="P379" s="10"/>
    </row>
    <row r="380" spans="1:16">
      <c r="A380">
        <f t="shared" si="12"/>
        <v>379</v>
      </c>
      <c r="B380" s="78" t="s">
        <v>1538</v>
      </c>
      <c r="C380" s="79">
        <v>1</v>
      </c>
      <c r="D380" s="79">
        <v>628</v>
      </c>
      <c r="E380" s="80">
        <f ca="1">VLOOKUP( Aop!$A380, Aop!$A$2:$P$456, ID_Jezik +10, 1)</f>
        <v>659</v>
      </c>
      <c r="F380" s="79" t="str">
        <f ca="1">REPT( "  ", Aop!$C380) &amp; VLOOKUP( Aop!$A380, Aop!$A$2:$P$456, ID_Jezik + 6, 1)</f>
        <v xml:space="preserve">  g) Ostali poslovni prihodi po drugim osnovima</v>
      </c>
      <c r="G380" s="296" t="s">
        <v>617</v>
      </c>
      <c r="H380" s="301" t="s">
        <v>2688</v>
      </c>
      <c r="I380" s="301" t="s">
        <v>2504</v>
      </c>
      <c r="J380" s="382" t="s">
        <v>1191</v>
      </c>
      <c r="K380" s="297">
        <v>659</v>
      </c>
      <c r="L380" s="297">
        <v>659</v>
      </c>
      <c r="M380" s="297">
        <v>659</v>
      </c>
      <c r="N380" s="60">
        <v>659</v>
      </c>
      <c r="O380" s="80"/>
      <c r="P380" s="80"/>
    </row>
    <row r="381" spans="1:16">
      <c r="A381">
        <f t="shared" si="12"/>
        <v>380</v>
      </c>
      <c r="B381" s="78" t="s">
        <v>1538</v>
      </c>
      <c r="C381" s="79">
        <v>0</v>
      </c>
      <c r="D381" s="79">
        <v>629</v>
      </c>
      <c r="E381" s="80" t="str">
        <f ca="1">VLOOKUP( Aop!$A381, Aop!$A$2:$P$456, ID_Jezik +10, 1)</f>
        <v>66 + 67</v>
      </c>
      <c r="F381" s="79" t="str">
        <f ca="1">REPT( "  ", Aop!$C381) &amp; VLOOKUP( Aop!$A381, Aop!$A$2:$P$456, ID_Jezik + 6, 1)</f>
        <v>FINANSIJSKI I OSTALI PRIHODI</v>
      </c>
      <c r="G381" s="296" t="s">
        <v>2470</v>
      </c>
      <c r="H381" s="301" t="s">
        <v>2689</v>
      </c>
      <c r="I381" s="301" t="s">
        <v>2505</v>
      </c>
      <c r="J381" s="385" t="s">
        <v>1192</v>
      </c>
      <c r="K381" s="297" t="s">
        <v>2062</v>
      </c>
      <c r="L381" s="302" t="s">
        <v>2062</v>
      </c>
      <c r="M381" s="297" t="s">
        <v>2062</v>
      </c>
      <c r="N381" s="331" t="s">
        <v>2062</v>
      </c>
      <c r="O381" s="80">
        <v>1</v>
      </c>
      <c r="P381" s="80"/>
    </row>
    <row r="382" spans="1:16">
      <c r="A382">
        <f t="shared" si="12"/>
        <v>381</v>
      </c>
      <c r="B382" s="78" t="s">
        <v>1538</v>
      </c>
      <c r="C382" s="79">
        <v>2</v>
      </c>
      <c r="D382" s="79">
        <v>630</v>
      </c>
      <c r="E382" s="80" t="str">
        <f ca="1">VLOOKUP( Aop!$A382, Aop!$A$2:$P$456, ID_Jezik +10, 1)</f>
        <v>dio 660</v>
      </c>
      <c r="F382" s="79" t="str">
        <f ca="1">REPT( "  ", Aop!$C382) &amp; VLOOKUP( Aop!$A382, Aop!$A$2:$P$456, ID_Jezik + 6, 1)</f>
        <v xml:space="preserve">    Od toga: prihodi od učešća u dobiti (dividendi)</v>
      </c>
      <c r="G382" s="296" t="s">
        <v>2471</v>
      </c>
      <c r="H382" s="301" t="s">
        <v>2690</v>
      </c>
      <c r="I382" s="301" t="s">
        <v>2506</v>
      </c>
      <c r="J382" s="382" t="s">
        <v>1193</v>
      </c>
      <c r="K382" s="297" t="s">
        <v>2481</v>
      </c>
      <c r="L382" s="297" t="s">
        <v>2063</v>
      </c>
      <c r="M382" s="297" t="s">
        <v>2489</v>
      </c>
      <c r="N382" s="60" t="s">
        <v>539</v>
      </c>
      <c r="O382" s="80"/>
      <c r="P382" s="80"/>
    </row>
    <row r="383" spans="1:16">
      <c r="A383">
        <f t="shared" si="12"/>
        <v>382</v>
      </c>
      <c r="B383" s="78" t="s">
        <v>1538</v>
      </c>
      <c r="C383" s="79">
        <v>1</v>
      </c>
      <c r="D383" s="79">
        <v>631</v>
      </c>
      <c r="E383" s="80" t="str">
        <f ca="1">VLOOKUP( Aop!$A383, Aop!$A$2:$P$456, ID_Jezik +10, 1)</f>
        <v>dio 670</v>
      </c>
      <c r="F383" s="79" t="str">
        <f ca="1">REPT( "  ", Aop!$C383) &amp; VLOOKUP( Aop!$A383, Aop!$A$2:$P$456, ID_Jezik + 6, 1)</f>
        <v xml:space="preserve">  Dobici po osnovu prodaje nekretnina, postrojenja i opreme</v>
      </c>
      <c r="G383" s="296" t="s">
        <v>2691</v>
      </c>
      <c r="H383" s="301" t="s">
        <v>2692</v>
      </c>
      <c r="I383" s="301" t="s">
        <v>2507</v>
      </c>
      <c r="J383" s="381" t="s">
        <v>1194</v>
      </c>
      <c r="K383" s="297" t="s">
        <v>2482</v>
      </c>
      <c r="L383" s="297" t="s">
        <v>2064</v>
      </c>
      <c r="M383" s="297" t="s">
        <v>2490</v>
      </c>
      <c r="N383" s="66" t="s">
        <v>540</v>
      </c>
      <c r="O383" s="80"/>
      <c r="P383" s="80"/>
    </row>
    <row r="384" spans="1:16" ht="25.5">
      <c r="A384">
        <f t="shared" si="12"/>
        <v>383</v>
      </c>
      <c r="B384" s="78" t="s">
        <v>1538</v>
      </c>
      <c r="C384" s="79">
        <v>1</v>
      </c>
      <c r="D384" s="79">
        <v>632</v>
      </c>
      <c r="E384" s="80">
        <f ca="1">VLOOKUP( Aop!$A384, Aop!$A$2:$P$456, ID_Jezik +10, 1)</f>
        <v>678</v>
      </c>
      <c r="F384" s="79" t="str">
        <f ca="1">REPT( "  ", Aop!$C384) &amp; VLOOKUP( Aop!$A384, Aop!$A$2:$P$456, ID_Jezik + 6, 1)</f>
        <v xml:space="preserve">  Prihodi po osnovu ugovorene zaštite od rizika koji ne ispunjavaju uslove da se iskažu u okviru revalorizacionih rezervi</v>
      </c>
      <c r="G384" s="296" t="s">
        <v>2127</v>
      </c>
      <c r="H384" s="301" t="s">
        <v>618</v>
      </c>
      <c r="I384" s="301" t="s">
        <v>619</v>
      </c>
      <c r="J384" s="382" t="s">
        <v>1195</v>
      </c>
      <c r="K384" s="297">
        <v>678</v>
      </c>
      <c r="L384" s="302">
        <v>678</v>
      </c>
      <c r="M384" s="297">
        <v>678</v>
      </c>
      <c r="N384" s="330">
        <v>678</v>
      </c>
      <c r="O384" s="80"/>
      <c r="P384" s="80"/>
    </row>
    <row r="385" spans="1:16">
      <c r="A385">
        <f t="shared" si="12"/>
        <v>384</v>
      </c>
      <c r="B385" s="78" t="s">
        <v>1538</v>
      </c>
      <c r="C385" s="79">
        <v>0</v>
      </c>
      <c r="D385" s="79">
        <v>633</v>
      </c>
      <c r="E385" s="80">
        <f ca="1">VLOOKUP( Aop!$A385, Aop!$A$2:$P$456, ID_Jezik +10, 1)</f>
        <v>51</v>
      </c>
      <c r="F385" s="79" t="str">
        <f ca="1">REPT( "  ", Aop!$C385) &amp; VLOOKUP( Aop!$A385, Aop!$A$2:$P$456, ID_Jezik + 6, 1)</f>
        <v>TROŠKOVI MATERIJALA</v>
      </c>
      <c r="G385" s="296" t="s">
        <v>2472</v>
      </c>
      <c r="H385" s="301" t="s">
        <v>2693</v>
      </c>
      <c r="I385" s="301" t="s">
        <v>2508</v>
      </c>
      <c r="J385" s="386" t="s">
        <v>1196</v>
      </c>
      <c r="K385" s="297">
        <v>51</v>
      </c>
      <c r="L385" s="297">
        <v>51</v>
      </c>
      <c r="M385" s="297">
        <v>51</v>
      </c>
      <c r="N385" s="332">
        <v>51</v>
      </c>
      <c r="O385" s="80">
        <v>1</v>
      </c>
      <c r="P385" s="80"/>
    </row>
    <row r="386" spans="1:16">
      <c r="A386">
        <f t="shared" si="12"/>
        <v>385</v>
      </c>
      <c r="B386" s="78" t="s">
        <v>1538</v>
      </c>
      <c r="C386" s="79">
        <v>2</v>
      </c>
      <c r="D386" s="79">
        <v>634</v>
      </c>
      <c r="E386" s="80">
        <f ca="1">VLOOKUP( Aop!$A386, Aop!$A$2:$P$456, ID_Jezik +10, 1)</f>
        <v>513</v>
      </c>
      <c r="F386" s="79" t="str">
        <f ca="1">REPT( "  ", Aop!$C386) &amp; VLOOKUP( Aop!$A386, Aop!$A$2:$P$456, ID_Jezik + 6, 1)</f>
        <v xml:space="preserve">    Od toga: troškovi goriva i energije</v>
      </c>
      <c r="G386" s="296" t="s">
        <v>2473</v>
      </c>
      <c r="H386" s="301" t="s">
        <v>2694</v>
      </c>
      <c r="I386" s="301" t="s">
        <v>1667</v>
      </c>
      <c r="J386" s="382" t="s">
        <v>1197</v>
      </c>
      <c r="K386" s="297">
        <v>513</v>
      </c>
      <c r="L386" s="297">
        <v>513</v>
      </c>
      <c r="M386" s="297">
        <v>513</v>
      </c>
      <c r="N386" s="330">
        <v>513</v>
      </c>
      <c r="O386" s="80"/>
      <c r="P386" s="80"/>
    </row>
    <row r="387" spans="1:16" ht="25.5">
      <c r="A387">
        <f t="shared" si="12"/>
        <v>386</v>
      </c>
      <c r="B387" s="78" t="s">
        <v>1538</v>
      </c>
      <c r="C387" s="79">
        <v>0</v>
      </c>
      <c r="D387" s="79">
        <v>635</v>
      </c>
      <c r="E387" s="80">
        <f ca="1">VLOOKUP( Aop!$A387, Aop!$A$2:$P$456, ID_Jezik +10, 1)</f>
        <v>52</v>
      </c>
      <c r="F387" s="79" t="str">
        <f ca="1">REPT( "  ", Aop!$C387) &amp; VLOOKUP( Aop!$A387, Aop!$A$2:$P$456, ID_Jezik + 6, 1)</f>
        <v>TROŠKOVI ZARADA, NAKNADA ZARADA I OSTALIH LIČNIH RASHODA</v>
      </c>
      <c r="G387" s="296" t="s">
        <v>2474</v>
      </c>
      <c r="H387" s="301" t="s">
        <v>2695</v>
      </c>
      <c r="I387" s="301" t="s">
        <v>1668</v>
      </c>
      <c r="J387" s="385" t="s">
        <v>1198</v>
      </c>
      <c r="K387" s="297">
        <v>52</v>
      </c>
      <c r="L387" s="302">
        <v>52</v>
      </c>
      <c r="M387" s="297">
        <v>52</v>
      </c>
      <c r="N387" s="331">
        <v>52</v>
      </c>
      <c r="O387" s="80">
        <v>1</v>
      </c>
      <c r="P387" s="80"/>
    </row>
    <row r="388" spans="1:16" ht="25.5">
      <c r="A388">
        <f t="shared" si="12"/>
        <v>387</v>
      </c>
      <c r="B388" s="78" t="s">
        <v>1538</v>
      </c>
      <c r="C388" s="79">
        <v>1</v>
      </c>
      <c r="D388" s="79">
        <v>636</v>
      </c>
      <c r="E388" s="80" t="str">
        <f ca="1">VLOOKUP( Aop!$A388, Aop!$A$2:$P$456, ID_Jezik +10, 1)</f>
        <v>522 + 523</v>
      </c>
      <c r="F388" s="79" t="str">
        <f ca="1">REPT( "  ", Aop!$C388) &amp; VLOOKUP( Aop!$A388, Aop!$A$2:$P$456, ID_Jezik + 6, 1)</f>
        <v xml:space="preserve">  Troškovi bruto naknada članovima upravnog, nadzornog, odbora za reviziju i dr.</v>
      </c>
      <c r="G388" s="296" t="s">
        <v>2128</v>
      </c>
      <c r="H388" s="301" t="s">
        <v>2154</v>
      </c>
      <c r="I388" s="301" t="s">
        <v>2871</v>
      </c>
      <c r="J388" s="382" t="s">
        <v>500</v>
      </c>
      <c r="K388" s="297" t="s">
        <v>2120</v>
      </c>
      <c r="L388" s="302" t="s">
        <v>2120</v>
      </c>
      <c r="M388" s="297" t="s">
        <v>2120</v>
      </c>
      <c r="N388" s="333" t="s">
        <v>541</v>
      </c>
      <c r="O388" s="80"/>
      <c r="P388" s="80"/>
    </row>
    <row r="389" spans="1:16">
      <c r="A389">
        <f t="shared" si="12"/>
        <v>388</v>
      </c>
      <c r="B389" s="78" t="s">
        <v>1538</v>
      </c>
      <c r="C389" s="79">
        <v>1</v>
      </c>
      <c r="D389" s="79">
        <v>637</v>
      </c>
      <c r="E389" s="80">
        <f ca="1">VLOOKUP( Aop!$A389, Aop!$A$2:$P$456, ID_Jezik +10, 1)</f>
        <v>525</v>
      </c>
      <c r="F389" s="79" t="str">
        <f ca="1">REPT( "  ", Aop!$C389) &amp; VLOOKUP( Aop!$A389, Aop!$A$2:$P$456, ID_Jezik + 6, 1)</f>
        <v xml:space="preserve">  Troškovi zaposlenih na službenom putu</v>
      </c>
      <c r="G389" s="296" t="s">
        <v>2696</v>
      </c>
      <c r="H389" s="301" t="s">
        <v>2697</v>
      </c>
      <c r="I389" s="301" t="s">
        <v>2698</v>
      </c>
      <c r="J389" s="382" t="s">
        <v>501</v>
      </c>
      <c r="K389" s="297">
        <v>525</v>
      </c>
      <c r="L389" s="302">
        <v>525</v>
      </c>
      <c r="M389" s="297">
        <v>525</v>
      </c>
      <c r="N389" s="330">
        <v>525</v>
      </c>
      <c r="O389" s="80"/>
      <c r="P389" s="80"/>
    </row>
    <row r="390" spans="1:16">
      <c r="A390">
        <f t="shared" si="12"/>
        <v>389</v>
      </c>
      <c r="B390" s="78" t="s">
        <v>1538</v>
      </c>
      <c r="C390" s="79">
        <v>2</v>
      </c>
      <c r="D390" s="79">
        <v>638</v>
      </c>
      <c r="E390" s="80" t="str">
        <f ca="1">VLOOKUP( Aop!$A390, Aop!$A$2:$P$456, ID_Jezik +10, 1)</f>
        <v>dio 525</v>
      </c>
      <c r="F390" s="79" t="str">
        <f ca="1">REPT( "  ", Aop!$C390) &amp; VLOOKUP( Aop!$A390, Aop!$A$2:$P$456, ID_Jezik + 6, 1)</f>
        <v xml:space="preserve">    Od toga: dnevnice</v>
      </c>
      <c r="G390" s="296" t="s">
        <v>2699</v>
      </c>
      <c r="H390" s="301" t="s">
        <v>2700</v>
      </c>
      <c r="I390" s="301" t="s">
        <v>2701</v>
      </c>
      <c r="J390" s="381" t="s">
        <v>502</v>
      </c>
      <c r="K390" s="297" t="s">
        <v>2065</v>
      </c>
      <c r="L390" s="297" t="s">
        <v>2066</v>
      </c>
      <c r="M390" s="297" t="s">
        <v>2067</v>
      </c>
      <c r="N390" s="333" t="s">
        <v>542</v>
      </c>
      <c r="O390" s="80"/>
      <c r="P390" s="80"/>
    </row>
    <row r="391" spans="1:16" ht="25.5">
      <c r="A391">
        <f t="shared" si="12"/>
        <v>390</v>
      </c>
      <c r="B391" s="78" t="s">
        <v>1538</v>
      </c>
      <c r="C391" s="79">
        <v>0</v>
      </c>
      <c r="D391" s="79">
        <v>639</v>
      </c>
      <c r="E391" s="80">
        <f ca="1">VLOOKUP( Aop!$A391, Aop!$A$2:$P$456, ID_Jezik +10, 1)</f>
        <v>53</v>
      </c>
      <c r="F391" s="79" t="str">
        <f ca="1">REPT( "  ", Aop!$C391) &amp; VLOOKUP( Aop!$A391, Aop!$A$2:$P$456, ID_Jezik + 6, 1)</f>
        <v>TROŠKOVI PROIZVODNIH USLUGA (640 + 641 + 642 + 643 + 644 + 645 + 646 + 647)</v>
      </c>
      <c r="G391" s="296" t="s">
        <v>2129</v>
      </c>
      <c r="H391" s="301" t="s">
        <v>2883</v>
      </c>
      <c r="I391" s="301" t="s">
        <v>2884</v>
      </c>
      <c r="J391" s="384" t="s">
        <v>503</v>
      </c>
      <c r="K391" s="297">
        <v>53</v>
      </c>
      <c r="L391" s="302">
        <v>53</v>
      </c>
      <c r="M391" s="297">
        <v>53</v>
      </c>
      <c r="N391" s="334">
        <v>53</v>
      </c>
      <c r="O391" s="80">
        <v>1</v>
      </c>
      <c r="P391" s="80"/>
    </row>
    <row r="392" spans="1:16">
      <c r="A392">
        <f t="shared" si="12"/>
        <v>391</v>
      </c>
      <c r="B392" s="78" t="s">
        <v>1538</v>
      </c>
      <c r="C392" s="79">
        <v>1</v>
      </c>
      <c r="D392" s="79">
        <v>640</v>
      </c>
      <c r="E392" s="80">
        <f ca="1">VLOOKUP( Aop!$A392, Aop!$A$2:$P$456, ID_Jezik +10, 1)</f>
        <v>530</v>
      </c>
      <c r="F392" s="79" t="str">
        <f ca="1">REPT( "  ", Aop!$C392) &amp; VLOOKUP( Aop!$A392, Aop!$A$2:$P$456, ID_Jezik + 6, 1)</f>
        <v xml:space="preserve">  a) Troškovi usluga na izradi učinaka</v>
      </c>
      <c r="G392" s="296" t="s">
        <v>2475</v>
      </c>
      <c r="H392" s="301" t="s">
        <v>2702</v>
      </c>
      <c r="I392" s="301" t="s">
        <v>2703</v>
      </c>
      <c r="J392" s="381" t="s">
        <v>504</v>
      </c>
      <c r="K392" s="297">
        <v>530</v>
      </c>
      <c r="L392" s="302">
        <v>530</v>
      </c>
      <c r="M392" s="297">
        <v>530</v>
      </c>
      <c r="N392" s="66">
        <v>530</v>
      </c>
      <c r="O392" s="80"/>
      <c r="P392" s="80"/>
    </row>
    <row r="393" spans="1:16">
      <c r="A393">
        <f t="shared" si="12"/>
        <v>392</v>
      </c>
      <c r="B393" s="78" t="s">
        <v>1538</v>
      </c>
      <c r="C393" s="79">
        <v>1</v>
      </c>
      <c r="D393" s="79">
        <v>641</v>
      </c>
      <c r="E393" s="80">
        <f ca="1">VLOOKUP( Aop!$A393, Aop!$A$2:$P$456, ID_Jezik +10, 1)</f>
        <v>531</v>
      </c>
      <c r="F393" s="79" t="str">
        <f ca="1">REPT( "  ", Aop!$C393) &amp; VLOOKUP( Aop!$A393, Aop!$A$2:$P$456, ID_Jezik + 6, 1)</f>
        <v xml:space="preserve">  b) Troškovi transportnih usluga</v>
      </c>
      <c r="G393" s="296" t="s">
        <v>2476</v>
      </c>
      <c r="H393" s="301" t="s">
        <v>2704</v>
      </c>
      <c r="I393" s="301" t="s">
        <v>1669</v>
      </c>
      <c r="J393" s="382" t="s">
        <v>505</v>
      </c>
      <c r="K393" s="297">
        <v>531</v>
      </c>
      <c r="L393" s="302">
        <v>531</v>
      </c>
      <c r="M393" s="297">
        <v>531</v>
      </c>
      <c r="N393" s="60">
        <v>531</v>
      </c>
      <c r="O393" s="80"/>
      <c r="P393" s="80"/>
    </row>
    <row r="394" spans="1:16">
      <c r="A394">
        <f t="shared" si="12"/>
        <v>393</v>
      </c>
      <c r="B394" s="78" t="s">
        <v>1538</v>
      </c>
      <c r="C394" s="79">
        <v>1</v>
      </c>
      <c r="D394" s="79">
        <v>642</v>
      </c>
      <c r="E394" s="80" t="str">
        <f ca="1">VLOOKUP( Aop!$A394, Aop!$A$2:$P$456, ID_Jezik +10, 1)</f>
        <v>dio 532</v>
      </c>
      <c r="F394" s="79" t="str">
        <f ca="1">REPT( "  ", Aop!$C394) &amp; VLOOKUP( Aop!$A394, Aop!$A$2:$P$456, ID_Jezik + 6, 1)</f>
        <v xml:space="preserve">  v) Troškovi za usluge tekućeg održavanja osnovnih sredstava</v>
      </c>
      <c r="G394" s="296" t="s">
        <v>2705</v>
      </c>
      <c r="H394" s="301" t="s">
        <v>2706</v>
      </c>
      <c r="I394" s="301" t="s">
        <v>2707</v>
      </c>
      <c r="J394" s="381" t="s">
        <v>506</v>
      </c>
      <c r="K394" s="297" t="s">
        <v>2483</v>
      </c>
      <c r="L394" s="302" t="s">
        <v>2068</v>
      </c>
      <c r="M394" s="297" t="s">
        <v>2491</v>
      </c>
      <c r="N394" s="335" t="s">
        <v>543</v>
      </c>
      <c r="O394" s="80"/>
      <c r="P394" s="80"/>
    </row>
    <row r="395" spans="1:16">
      <c r="A395">
        <f t="shared" si="12"/>
        <v>394</v>
      </c>
      <c r="B395" s="78" t="s">
        <v>1538</v>
      </c>
      <c r="C395" s="79">
        <v>1</v>
      </c>
      <c r="D395" s="79">
        <v>643</v>
      </c>
      <c r="E395" s="80" t="str">
        <f ca="1">VLOOKUP( Aop!$A395, Aop!$A$2:$P$456, ID_Jezik +10, 1)</f>
        <v>dio 532</v>
      </c>
      <c r="F395" s="79" t="str">
        <f ca="1">REPT( "  ", Aop!$C395) &amp; VLOOKUP( Aop!$A395, Aop!$A$2:$P$456, ID_Jezik + 6, 1)</f>
        <v xml:space="preserve">  g) Troškovi za usluge investicionog održavanja osnovnih sredstava</v>
      </c>
      <c r="G395" s="296" t="s">
        <v>2708</v>
      </c>
      <c r="H395" s="301" t="s">
        <v>2709</v>
      </c>
      <c r="I395" s="301" t="s">
        <v>2710</v>
      </c>
      <c r="J395" s="382" t="s">
        <v>507</v>
      </c>
      <c r="K395" s="297" t="s">
        <v>2483</v>
      </c>
      <c r="L395" s="297" t="s">
        <v>2068</v>
      </c>
      <c r="M395" s="297" t="s">
        <v>2491</v>
      </c>
      <c r="N395" s="60" t="s">
        <v>543</v>
      </c>
      <c r="O395" s="80"/>
      <c r="P395" s="80"/>
    </row>
    <row r="396" spans="1:16">
      <c r="A396">
        <f t="shared" si="12"/>
        <v>395</v>
      </c>
      <c r="B396" s="78" t="s">
        <v>1538</v>
      </c>
      <c r="C396" s="79">
        <v>1</v>
      </c>
      <c r="D396" s="79">
        <v>644</v>
      </c>
      <c r="E396" s="80">
        <f ca="1">VLOOKUP( Aop!$A396, Aop!$A$2:$P$456, ID_Jezik +10, 1)</f>
        <v>533</v>
      </c>
      <c r="F396" s="79" t="str">
        <f ca="1">REPT( "  ", Aop!$C396) &amp; VLOOKUP( Aop!$A396, Aop!$A$2:$P$456, ID_Jezik + 6, 1)</f>
        <v xml:space="preserve">  d) Troškovi zakupa</v>
      </c>
      <c r="G396" s="296" t="s">
        <v>2711</v>
      </c>
      <c r="H396" s="301" t="s">
        <v>2712</v>
      </c>
      <c r="I396" s="301" t="s">
        <v>1670</v>
      </c>
      <c r="J396" s="387" t="s">
        <v>508</v>
      </c>
      <c r="K396" s="297">
        <v>533</v>
      </c>
      <c r="L396" s="297">
        <v>533</v>
      </c>
      <c r="M396" s="297">
        <v>533</v>
      </c>
      <c r="N396" s="335">
        <v>533</v>
      </c>
      <c r="O396" s="80"/>
      <c r="P396" s="80"/>
    </row>
    <row r="397" spans="1:16">
      <c r="A397">
        <f t="shared" si="12"/>
        <v>396</v>
      </c>
      <c r="B397" s="78" t="s">
        <v>1538</v>
      </c>
      <c r="C397" s="79">
        <v>1</v>
      </c>
      <c r="D397" s="79">
        <v>645</v>
      </c>
      <c r="E397" s="80" t="str">
        <f ca="1">VLOOKUP( Aop!$A397, Aop!$A$2:$P$456, ID_Jezik +10, 1)</f>
        <v>534 + 535</v>
      </c>
      <c r="F397" s="79" t="str">
        <f ca="1">REPT( "  ", Aop!$C397) &amp; VLOOKUP( Aop!$A397, Aop!$A$2:$P$456, ID_Jezik + 6, 1)</f>
        <v xml:space="preserve">  đ) Troškovi sajmova, reklame i propagande</v>
      </c>
      <c r="G397" s="296" t="s">
        <v>2713</v>
      </c>
      <c r="H397" s="301" t="s">
        <v>2714</v>
      </c>
      <c r="I397" s="301" t="s">
        <v>1671</v>
      </c>
      <c r="J397" s="382" t="s">
        <v>509</v>
      </c>
      <c r="K397" s="297" t="s">
        <v>2069</v>
      </c>
      <c r="L397" s="302" t="s">
        <v>2069</v>
      </c>
      <c r="M397" s="297" t="s">
        <v>2069</v>
      </c>
      <c r="N397" s="60" t="s">
        <v>544</v>
      </c>
      <c r="O397" s="80"/>
      <c r="P397" s="80"/>
    </row>
    <row r="398" spans="1:16">
      <c r="A398">
        <f t="shared" si="12"/>
        <v>397</v>
      </c>
      <c r="B398" s="78" t="s">
        <v>1538</v>
      </c>
      <c r="C398" s="79">
        <v>1</v>
      </c>
      <c r="D398" s="79">
        <v>646</v>
      </c>
      <c r="E398" s="80" t="str">
        <f ca="1">VLOOKUP( Aop!$A398, Aop!$A$2:$P$456, ID_Jezik +10, 1)</f>
        <v>536 + 537</v>
      </c>
      <c r="F398" s="79" t="str">
        <f ca="1">REPT( "  ", Aop!$C398) &amp; VLOOKUP( Aop!$A398, Aop!$A$2:$P$456, ID_Jezik + 6, 1)</f>
        <v xml:space="preserve">  e) Troškovi istraživanja i razvoja koji se ne kapitalizuju</v>
      </c>
      <c r="G398" s="296" t="s">
        <v>2715</v>
      </c>
      <c r="H398" s="301" t="s">
        <v>2716</v>
      </c>
      <c r="I398" s="301" t="s">
        <v>1672</v>
      </c>
      <c r="J398" s="381" t="s">
        <v>510</v>
      </c>
      <c r="K398" s="297" t="s">
        <v>2070</v>
      </c>
      <c r="L398" s="297" t="s">
        <v>2070</v>
      </c>
      <c r="M398" s="297" t="s">
        <v>2070</v>
      </c>
      <c r="N398" s="66" t="s">
        <v>545</v>
      </c>
      <c r="O398" s="80"/>
      <c r="P398" s="80"/>
    </row>
    <row r="399" spans="1:16">
      <c r="A399">
        <f t="shared" si="12"/>
        <v>398</v>
      </c>
      <c r="B399" s="78" t="s">
        <v>1538</v>
      </c>
      <c r="C399" s="79">
        <v>1</v>
      </c>
      <c r="D399" s="79">
        <v>647</v>
      </c>
      <c r="E399" s="80">
        <f ca="1">VLOOKUP( Aop!$A399, Aop!$A$2:$P$456, ID_Jezik +10, 1)</f>
        <v>539</v>
      </c>
      <c r="F399" s="79" t="str">
        <f ca="1">REPT( "  ", Aop!$C399) &amp; VLOOKUP( Aop!$A399, Aop!$A$2:$P$456, ID_Jezik + 6, 1)</f>
        <v xml:space="preserve">  ž) Troškovi ostalih usluga</v>
      </c>
      <c r="G399" s="296" t="s">
        <v>2717</v>
      </c>
      <c r="H399" s="301" t="s">
        <v>1940</v>
      </c>
      <c r="I399" s="301" t="s">
        <v>1673</v>
      </c>
      <c r="J399" s="382" t="s">
        <v>511</v>
      </c>
      <c r="K399" s="297">
        <v>539</v>
      </c>
      <c r="L399" s="297">
        <v>539</v>
      </c>
      <c r="M399" s="297">
        <v>539</v>
      </c>
      <c r="N399" s="60">
        <v>539</v>
      </c>
      <c r="O399" s="80"/>
      <c r="P399" s="80"/>
    </row>
    <row r="400" spans="1:16" ht="25.5">
      <c r="A400">
        <f t="shared" si="12"/>
        <v>399</v>
      </c>
      <c r="B400" s="78" t="s">
        <v>1538</v>
      </c>
      <c r="C400" s="79">
        <v>2</v>
      </c>
      <c r="D400" s="79">
        <v>648</v>
      </c>
      <c r="E400" s="80" t="str">
        <f ca="1">VLOOKUP( Aop!$A400, Aop!$A$2:$P$456, ID_Jezik +10, 1)</f>
        <v>dio 539</v>
      </c>
      <c r="F400" s="79" t="str">
        <f ca="1">REPT( "  ", Aop!$C400) &amp; VLOOKUP( Aop!$A400, Aop!$A$2:$P$456, ID_Jezik + 6, 1)</f>
        <v xml:space="preserve">    Od toga: bruto iznosi naknada po ugovorima sa fizičkim licima van radnog odnosa</v>
      </c>
      <c r="G400" s="296" t="s">
        <v>1941</v>
      </c>
      <c r="H400" s="301" t="s">
        <v>1942</v>
      </c>
      <c r="I400" s="301" t="s">
        <v>1943</v>
      </c>
      <c r="J400" s="381" t="s">
        <v>512</v>
      </c>
      <c r="K400" s="297" t="s">
        <v>2484</v>
      </c>
      <c r="L400" s="297" t="s">
        <v>2071</v>
      </c>
      <c r="M400" s="297" t="s">
        <v>2492</v>
      </c>
      <c r="N400" s="66" t="s">
        <v>546</v>
      </c>
      <c r="O400" s="80"/>
      <c r="P400" s="80"/>
    </row>
    <row r="401" spans="1:16">
      <c r="A401">
        <f t="shared" si="12"/>
        <v>400</v>
      </c>
      <c r="B401" s="78" t="s">
        <v>1538</v>
      </c>
      <c r="C401" s="79">
        <v>0</v>
      </c>
      <c r="D401" s="79">
        <v>649</v>
      </c>
      <c r="E401" s="80">
        <f ca="1">VLOOKUP( Aop!$A401, Aop!$A$2:$P$456, ID_Jezik +10, 1)</f>
        <v>55</v>
      </c>
      <c r="F401" s="79" t="str">
        <f ca="1">REPT( "  ", Aop!$C401) &amp; VLOOKUP( Aop!$A401, Aop!$A$2:$P$456, ID_Jezik + 6, 1)</f>
        <v>NEMATERIJALNI TROŠKOVI (650 + 653 + 654 + 655 + 656 + 657 + 658 + 659)</v>
      </c>
      <c r="G401" s="296" t="s">
        <v>2130</v>
      </c>
      <c r="H401" s="301" t="s">
        <v>2885</v>
      </c>
      <c r="I401" s="301" t="s">
        <v>2886</v>
      </c>
      <c r="J401" s="384" t="s">
        <v>513</v>
      </c>
      <c r="K401" s="297">
        <v>55</v>
      </c>
      <c r="L401" s="302">
        <v>55</v>
      </c>
      <c r="M401" s="297">
        <v>55</v>
      </c>
      <c r="N401" s="334">
        <v>55</v>
      </c>
      <c r="O401" s="80">
        <v>1</v>
      </c>
      <c r="P401" s="80"/>
    </row>
    <row r="402" spans="1:16">
      <c r="A402">
        <f t="shared" si="12"/>
        <v>401</v>
      </c>
      <c r="B402" s="78" t="s">
        <v>1538</v>
      </c>
      <c r="C402" s="79">
        <v>1</v>
      </c>
      <c r="D402" s="79">
        <v>650</v>
      </c>
      <c r="E402" s="80">
        <f ca="1">VLOOKUP( Aop!$A402, Aop!$A$2:$P$456, ID_Jezik +10, 1)</f>
        <v>550</v>
      </c>
      <c r="F402" s="79" t="str">
        <f ca="1">REPT( "  ", Aop!$C402) &amp; VLOOKUP( Aop!$A402, Aop!$A$2:$P$456, ID_Jezik + 6, 1)</f>
        <v xml:space="preserve">  a) Troškovi neproizvodnih usluga</v>
      </c>
      <c r="G402" s="296" t="s">
        <v>2131</v>
      </c>
      <c r="H402" s="301" t="s">
        <v>2156</v>
      </c>
      <c r="I402" s="301" t="s">
        <v>2143</v>
      </c>
      <c r="J402" s="381" t="s">
        <v>514</v>
      </c>
      <c r="K402" s="297">
        <v>550</v>
      </c>
      <c r="L402" s="302">
        <v>550</v>
      </c>
      <c r="M402" s="297">
        <v>550</v>
      </c>
      <c r="N402" s="66">
        <v>550</v>
      </c>
      <c r="O402" s="80"/>
      <c r="P402" s="80"/>
    </row>
    <row r="403" spans="1:16" ht="25.5">
      <c r="A403">
        <f t="shared" si="12"/>
        <v>402</v>
      </c>
      <c r="B403" s="78" t="s">
        <v>1538</v>
      </c>
      <c r="C403" s="79">
        <v>2</v>
      </c>
      <c r="D403" s="79">
        <v>651</v>
      </c>
      <c r="E403" s="80" t="str">
        <f ca="1">VLOOKUP( Aop!$A403, Aop!$A$2:$P$456, ID_Jezik +10, 1)</f>
        <v>dio 550</v>
      </c>
      <c r="F403" s="79" t="str">
        <f ca="1">REPT( "  ", Aop!$C403) &amp; VLOOKUP( Aop!$A403, Aop!$A$2:$P$456, ID_Jezik + 6, 1)</f>
        <v xml:space="preserve">    Od toga: troškovi stručnog obrazovanja i usavršavanja zaposlenih</v>
      </c>
      <c r="G403" s="296" t="s">
        <v>2132</v>
      </c>
      <c r="H403" s="301" t="s">
        <v>2155</v>
      </c>
      <c r="I403" s="301" t="s">
        <v>1674</v>
      </c>
      <c r="J403" s="382" t="s">
        <v>515</v>
      </c>
      <c r="K403" s="297" t="s">
        <v>1463</v>
      </c>
      <c r="L403" s="302" t="s">
        <v>2072</v>
      </c>
      <c r="M403" s="297" t="s">
        <v>2493</v>
      </c>
      <c r="N403" s="60" t="s">
        <v>547</v>
      </c>
      <c r="O403" s="80"/>
      <c r="P403" s="80"/>
    </row>
    <row r="404" spans="1:16" ht="25.5">
      <c r="A404">
        <f t="shared" si="12"/>
        <v>403</v>
      </c>
      <c r="B404" s="78" t="s">
        <v>1538</v>
      </c>
      <c r="C404" s="79">
        <v>2</v>
      </c>
      <c r="D404" s="79">
        <v>652</v>
      </c>
      <c r="E404" s="80" t="str">
        <f ca="1">VLOOKUP( Aop!$A404, Aop!$A$2:$P$456, ID_Jezik +10, 1)</f>
        <v>dio 550</v>
      </c>
      <c r="F404" s="79" t="str">
        <f ca="1">REPT( "  ", Aop!$C404) &amp; VLOOKUP( Aop!$A404, Aop!$A$2:$P$456, ID_Jezik + 6, 1)</f>
        <v xml:space="preserve">    Od toga: bruto iznosi naknada po ugovorima sa fizičkim licima van radnog odnosa</v>
      </c>
      <c r="G404" s="296" t="s">
        <v>1941</v>
      </c>
      <c r="H404" s="301" t="s">
        <v>1942</v>
      </c>
      <c r="I404" s="301" t="s">
        <v>1943</v>
      </c>
      <c r="J404" s="382" t="s">
        <v>512</v>
      </c>
      <c r="K404" s="297" t="s">
        <v>1463</v>
      </c>
      <c r="L404" s="302" t="s">
        <v>2072</v>
      </c>
      <c r="M404" s="297" t="s">
        <v>2493</v>
      </c>
      <c r="N404" s="60" t="s">
        <v>547</v>
      </c>
      <c r="O404" s="80"/>
      <c r="P404" s="80"/>
    </row>
    <row r="405" spans="1:16">
      <c r="A405">
        <f t="shared" si="12"/>
        <v>404</v>
      </c>
      <c r="B405" s="78" t="s">
        <v>1538</v>
      </c>
      <c r="C405" s="79">
        <v>1</v>
      </c>
      <c r="D405" s="79">
        <v>653</v>
      </c>
      <c r="E405" s="80">
        <f ca="1">VLOOKUP( Aop!$A405, Aop!$A$2:$P$456, ID_Jezik +10, 1)</f>
        <v>551</v>
      </c>
      <c r="F405" s="79" t="str">
        <f ca="1">REPT( "  ", Aop!$C405) &amp; VLOOKUP( Aop!$A405, Aop!$A$2:$P$456, ID_Jezik + 6, 1)</f>
        <v xml:space="preserve">  b) Troškovi reprezentacije</v>
      </c>
      <c r="G405" s="296" t="s">
        <v>2133</v>
      </c>
      <c r="H405" s="301" t="s">
        <v>2157</v>
      </c>
      <c r="I405" s="301" t="s">
        <v>2144</v>
      </c>
      <c r="J405" s="381" t="s">
        <v>516</v>
      </c>
      <c r="K405" s="297">
        <v>551</v>
      </c>
      <c r="L405" s="302">
        <v>551</v>
      </c>
      <c r="M405" s="297">
        <v>551</v>
      </c>
      <c r="N405" s="66">
        <v>551</v>
      </c>
      <c r="O405" s="80"/>
      <c r="P405" s="80"/>
    </row>
    <row r="406" spans="1:16">
      <c r="A406">
        <f t="shared" si="12"/>
        <v>405</v>
      </c>
      <c r="B406" s="78" t="s">
        <v>1538</v>
      </c>
      <c r="C406" s="79">
        <v>1</v>
      </c>
      <c r="D406" s="79">
        <v>654</v>
      </c>
      <c r="E406" s="80">
        <f ca="1">VLOOKUP( Aop!$A406, Aop!$A$2:$P$456, ID_Jezik +10, 1)</f>
        <v>552</v>
      </c>
      <c r="F406" s="79" t="str">
        <f ca="1">REPT( "  ", Aop!$C406) &amp; VLOOKUP( Aop!$A406, Aop!$A$2:$P$456, ID_Jezik + 6, 1)</f>
        <v xml:space="preserve">  v) Troškovi premije osiguranja</v>
      </c>
      <c r="G406" s="296" t="s">
        <v>2134</v>
      </c>
      <c r="H406" s="301" t="s">
        <v>2158</v>
      </c>
      <c r="I406" s="301" t="s">
        <v>2145</v>
      </c>
      <c r="J406" s="382" t="s">
        <v>517</v>
      </c>
      <c r="K406" s="297">
        <v>552</v>
      </c>
      <c r="L406" s="302">
        <v>552</v>
      </c>
      <c r="M406" s="297">
        <v>552</v>
      </c>
      <c r="N406" s="60">
        <v>552</v>
      </c>
      <c r="O406" s="80"/>
      <c r="P406" s="80"/>
    </row>
    <row r="407" spans="1:16">
      <c r="A407">
        <f t="shared" si="12"/>
        <v>406</v>
      </c>
      <c r="B407" s="78" t="s">
        <v>1538</v>
      </c>
      <c r="C407" s="79">
        <v>1</v>
      </c>
      <c r="D407" s="79">
        <v>655</v>
      </c>
      <c r="E407" s="80">
        <f ca="1">VLOOKUP( Aop!$A407, Aop!$A$2:$P$456, ID_Jezik +10, 1)</f>
        <v>553</v>
      </c>
      <c r="F407" s="79" t="str">
        <f ca="1">REPT( "  ", Aop!$C407) &amp; VLOOKUP( Aop!$A407, Aop!$A$2:$P$456, ID_Jezik + 6, 1)</f>
        <v xml:space="preserve">  g) Troškovi platnog prometa</v>
      </c>
      <c r="G407" s="296" t="s">
        <v>2135</v>
      </c>
      <c r="H407" s="301" t="s">
        <v>2159</v>
      </c>
      <c r="I407" s="301" t="s">
        <v>2146</v>
      </c>
      <c r="J407" s="381" t="s">
        <v>518</v>
      </c>
      <c r="K407" s="297">
        <v>553</v>
      </c>
      <c r="L407" s="302">
        <v>553</v>
      </c>
      <c r="M407" s="297">
        <v>553</v>
      </c>
      <c r="N407" s="66">
        <v>553</v>
      </c>
      <c r="O407" s="80"/>
      <c r="P407" s="80"/>
    </row>
    <row r="408" spans="1:16">
      <c r="A408">
        <f t="shared" si="12"/>
        <v>407</v>
      </c>
      <c r="B408" s="78" t="s">
        <v>1538</v>
      </c>
      <c r="C408" s="79">
        <v>1</v>
      </c>
      <c r="D408" s="79">
        <v>656</v>
      </c>
      <c r="E408" s="80">
        <f ca="1">VLOOKUP( Aop!$A408, Aop!$A$2:$P$456, ID_Jezik +10, 1)</f>
        <v>554</v>
      </c>
      <c r="F408" s="79" t="str">
        <f ca="1">REPT( "  ", Aop!$C408) &amp; VLOOKUP( Aop!$A408, Aop!$A$2:$P$456, ID_Jezik + 6, 1)</f>
        <v xml:space="preserve">  d) Troškovi članarina</v>
      </c>
      <c r="G408" s="296" t="s">
        <v>2136</v>
      </c>
      <c r="H408" s="301" t="s">
        <v>2160</v>
      </c>
      <c r="I408" s="301" t="s">
        <v>2147</v>
      </c>
      <c r="J408" s="382" t="s">
        <v>519</v>
      </c>
      <c r="K408" s="297">
        <v>554</v>
      </c>
      <c r="L408" s="297">
        <v>554</v>
      </c>
      <c r="M408" s="297">
        <v>554</v>
      </c>
      <c r="N408" s="60">
        <v>554</v>
      </c>
      <c r="O408" s="80"/>
      <c r="P408" s="80"/>
    </row>
    <row r="409" spans="1:16" ht="25.5">
      <c r="A409">
        <f t="shared" si="12"/>
        <v>408</v>
      </c>
      <c r="B409" s="78" t="s">
        <v>1538</v>
      </c>
      <c r="C409" s="79">
        <v>1</v>
      </c>
      <c r="D409" s="79">
        <v>657</v>
      </c>
      <c r="E409" s="80" t="str">
        <f ca="1">VLOOKUP( Aop!$A409, Aop!$A$2:$P$456, ID_Jezik +10, 1)</f>
        <v>dio 555</v>
      </c>
      <c r="F409" s="79" t="str">
        <f ca="1">REPT( "  ", Aop!$C409) &amp; VLOOKUP( Aop!$A409, Aop!$A$2:$P$456, ID_Jezik + 6, 1)</f>
        <v xml:space="preserve">  đ) Troškovi poreza na proizvode, carine, boravišne takse, porez na igre na sreću i sl.</v>
      </c>
      <c r="G409" s="296" t="s">
        <v>2137</v>
      </c>
      <c r="H409" s="301" t="s">
        <v>2868</v>
      </c>
      <c r="I409" s="301" t="s">
        <v>2148</v>
      </c>
      <c r="J409" s="381" t="s">
        <v>520</v>
      </c>
      <c r="K409" s="297" t="s">
        <v>2485</v>
      </c>
      <c r="L409" s="297" t="s">
        <v>2073</v>
      </c>
      <c r="M409" s="297" t="s">
        <v>2494</v>
      </c>
      <c r="N409" s="66" t="s">
        <v>548</v>
      </c>
      <c r="O409" s="80"/>
      <c r="P409" s="80"/>
    </row>
    <row r="410" spans="1:16" ht="25.5">
      <c r="A410">
        <f t="shared" si="12"/>
        <v>409</v>
      </c>
      <c r="B410" t="s">
        <v>1538</v>
      </c>
      <c r="C410" s="79">
        <v>1</v>
      </c>
      <c r="D410">
        <v>658</v>
      </c>
      <c r="E410" s="2" t="str">
        <f ca="1">VLOOKUP( Aop!$A410, Aop!$A$2:$P$456, ID_Jezik +10, 1)</f>
        <v>dio 555</v>
      </c>
      <c r="F410" t="str">
        <f ca="1">REPT( "  ", Aop!$C410) &amp; VLOOKUP( Aop!$A410, Aop!$A$2:$P$456, ID_Jezik + 6, 1)</f>
        <v xml:space="preserve">  e) Troškovi poreza na proizvodnju: na imovinu, na zemljište, za korišćenje voda i šuma, za protivpožarnu zaštitu i sl.</v>
      </c>
      <c r="G410" s="285" t="s">
        <v>2139</v>
      </c>
      <c r="H410" s="301" t="s">
        <v>2869</v>
      </c>
      <c r="I410" s="301" t="s">
        <v>2149</v>
      </c>
      <c r="J410" s="382" t="s">
        <v>521</v>
      </c>
      <c r="K410" s="289" t="s">
        <v>2485</v>
      </c>
      <c r="L410" s="297" t="s">
        <v>2073</v>
      </c>
      <c r="M410" s="297" t="s">
        <v>2494</v>
      </c>
      <c r="N410" s="60" t="s">
        <v>548</v>
      </c>
      <c r="O410" s="80"/>
      <c r="P410" s="80">
        <v>1</v>
      </c>
    </row>
    <row r="411" spans="1:16">
      <c r="A411">
        <f t="shared" si="12"/>
        <v>410</v>
      </c>
      <c r="B411" t="s">
        <v>1538</v>
      </c>
      <c r="C411" s="79">
        <v>1</v>
      </c>
      <c r="D411" s="3">
        <v>659</v>
      </c>
      <c r="E411" s="10">
        <f ca="1">VLOOKUP( Aop!$A411, Aop!$A$2:$P$456, ID_Jezik +10, 1)</f>
        <v>559</v>
      </c>
      <c r="F411" s="3" t="str">
        <f ca="1">REPT( "  ", Aop!$C411) &amp; VLOOKUP( Aop!$A411, Aop!$A$2:$P$456, ID_Jezik + 6, 1)</f>
        <v xml:space="preserve">  ž) Ostali nematerijalni troškovi</v>
      </c>
      <c r="G411" s="285" t="s">
        <v>2138</v>
      </c>
      <c r="H411" s="301" t="s">
        <v>2870</v>
      </c>
      <c r="I411" s="301" t="s">
        <v>2150</v>
      </c>
      <c r="J411" s="381" t="s">
        <v>552</v>
      </c>
      <c r="K411" s="289">
        <v>559</v>
      </c>
      <c r="L411" s="297">
        <v>559</v>
      </c>
      <c r="M411" s="297">
        <v>559</v>
      </c>
      <c r="N411" s="66">
        <v>559</v>
      </c>
      <c r="O411" s="80"/>
      <c r="P411" s="80"/>
    </row>
    <row r="412" spans="1:16">
      <c r="A412">
        <f t="shared" si="12"/>
        <v>411</v>
      </c>
      <c r="B412" t="s">
        <v>1538</v>
      </c>
      <c r="C412" s="79">
        <v>0</v>
      </c>
      <c r="D412" s="3">
        <v>660</v>
      </c>
      <c r="E412" s="10">
        <f ca="1">VLOOKUP( Aop!$A412, Aop!$A$2:$P$456, ID_Jezik +10, 1)</f>
        <v>0</v>
      </c>
      <c r="F412" s="3" t="str">
        <f ca="1">REPT( "  ", Aop!$C412) &amp; VLOOKUP( Aop!$A412, Aop!$A$2:$P$456, ID_Jezik + 6, 1)</f>
        <v>OBAVEZE I POTRAŽIVANJA</v>
      </c>
      <c r="G412" s="276" t="s">
        <v>1675</v>
      </c>
      <c r="H412" s="301" t="s">
        <v>1944</v>
      </c>
      <c r="I412" s="301" t="s">
        <v>1676</v>
      </c>
      <c r="J412" s="384" t="s">
        <v>553</v>
      </c>
      <c r="K412" s="289"/>
      <c r="L412" s="289"/>
      <c r="M412" s="289"/>
      <c r="N412" s="311"/>
      <c r="O412" s="80">
        <v>1</v>
      </c>
      <c r="P412" s="80"/>
    </row>
    <row r="413" spans="1:16">
      <c r="A413">
        <f t="shared" si="12"/>
        <v>412</v>
      </c>
      <c r="B413" t="s">
        <v>1538</v>
      </c>
      <c r="C413" s="79">
        <v>1</v>
      </c>
      <c r="D413" s="3">
        <v>661</v>
      </c>
      <c r="E413" s="10" t="str">
        <f ca="1">VLOOKUP( Aop!$A413, Aop!$A$2:$P$456, ID_Jezik +10, 1)</f>
        <v>47, osim 479</v>
      </c>
      <c r="F413" s="3" t="str">
        <f ca="1">REPT( "  ", Aop!$C413) &amp; VLOOKUP( Aop!$A413, Aop!$A$2:$P$456, ID_Jezik + 6, 1)</f>
        <v xml:space="preserve">  Obračunati (fakturisani) porez na dodatu vrijednost (kumulativan promet konta)</v>
      </c>
      <c r="G413" s="285" t="s">
        <v>1677</v>
      </c>
      <c r="H413" s="301" t="s">
        <v>1945</v>
      </c>
      <c r="I413" s="301" t="s">
        <v>1678</v>
      </c>
      <c r="J413" s="381" t="s">
        <v>554</v>
      </c>
      <c r="K413" s="289" t="s">
        <v>1438</v>
      </c>
      <c r="L413" s="297" t="s">
        <v>2074</v>
      </c>
      <c r="M413" s="297" t="s">
        <v>1430</v>
      </c>
      <c r="N413" s="66" t="s">
        <v>549</v>
      </c>
      <c r="O413" s="80"/>
      <c r="P413" s="80"/>
    </row>
    <row r="414" spans="1:16">
      <c r="A414">
        <f t="shared" si="12"/>
        <v>413</v>
      </c>
      <c r="B414" t="s">
        <v>1538</v>
      </c>
      <c r="C414">
        <v>1</v>
      </c>
      <c r="D414" s="3">
        <v>662</v>
      </c>
      <c r="E414" s="10" t="str">
        <f ca="1">VLOOKUP( Aop!$A414, Aop!$A$2:$P$456, ID_Jezik +10, 1)</f>
        <v>27, osim 279</v>
      </c>
      <c r="F414" s="3" t="str">
        <f ca="1">REPT( "  ", Aop!$C414) &amp; VLOOKUP( Aop!$A414, Aop!$A$2:$P$456, ID_Jezik + 6, 1)</f>
        <v xml:space="preserve">  Ulazni porez na dodatu vrijednost (kumulativan promet konta)</v>
      </c>
      <c r="G414" s="285" t="s">
        <v>1679</v>
      </c>
      <c r="H414" s="283" t="s">
        <v>1946</v>
      </c>
      <c r="I414" s="283" t="s">
        <v>1680</v>
      </c>
      <c r="J414" s="382" t="s">
        <v>555</v>
      </c>
      <c r="K414" s="289" t="s">
        <v>1439</v>
      </c>
      <c r="L414" s="289" t="s">
        <v>2075</v>
      </c>
      <c r="M414" s="289" t="s">
        <v>1431</v>
      </c>
      <c r="N414" s="60" t="s">
        <v>550</v>
      </c>
      <c r="O414" s="10"/>
      <c r="P414" s="10"/>
    </row>
    <row r="415" spans="1:16" ht="25.5">
      <c r="A415">
        <f t="shared" si="12"/>
        <v>414</v>
      </c>
      <c r="B415" t="s">
        <v>1538</v>
      </c>
      <c r="C415" s="3">
        <v>1</v>
      </c>
      <c r="D415" s="3">
        <v>663</v>
      </c>
      <c r="E415" s="10">
        <f ca="1">VLOOKUP( Aop!$A415, Aop!$A$2:$P$456, ID_Jezik +10, 1)</f>
        <v>479</v>
      </c>
      <c r="F415" s="3" t="str">
        <f ca="1">REPT( "  ", Aop!$C415) &amp; VLOOKUP( Aop!$A415, Aop!$A$2:$P$456, ID_Jezik + 6, 1)</f>
        <v xml:space="preserve">  Obaveze za PDV po osnovu razlike između obračunatog i akontacionog PDV-a (saldo konta)</v>
      </c>
      <c r="G415" s="285" t="s">
        <v>1947</v>
      </c>
      <c r="H415" s="283" t="s">
        <v>1948</v>
      </c>
      <c r="I415" s="283" t="s">
        <v>1681</v>
      </c>
      <c r="J415" s="381" t="s">
        <v>556</v>
      </c>
      <c r="K415" s="289">
        <v>479</v>
      </c>
      <c r="L415" s="289">
        <v>479</v>
      </c>
      <c r="M415" s="289">
        <v>479</v>
      </c>
      <c r="N415" s="66">
        <v>479</v>
      </c>
      <c r="O415" s="10"/>
      <c r="P415" s="10"/>
    </row>
    <row r="416" spans="1:16" ht="25.5">
      <c r="A416">
        <f t="shared" ref="A416:A456" si="13">ROW()-ROW($A$1)</f>
        <v>415</v>
      </c>
      <c r="B416" t="s">
        <v>1538</v>
      </c>
      <c r="C416" s="3">
        <v>1</v>
      </c>
      <c r="D416" s="3">
        <v>664</v>
      </c>
      <c r="E416" s="10">
        <f ca="1">VLOOKUP( Aop!$A416, Aop!$A$2:$P$456, ID_Jezik +10, 1)</f>
        <v>279</v>
      </c>
      <c r="F416" s="3" t="str">
        <f ca="1">REPT( "  ", Aop!$C416) &amp; VLOOKUP( Aop!$A416, Aop!$A$2:$P$456, ID_Jezik + 6, 1)</f>
        <v xml:space="preserve">  Potraživanja po osnovu razlike između akontacionog i obračunatog PDV-a (saldo konta)</v>
      </c>
      <c r="G416" s="285" t="s">
        <v>1949</v>
      </c>
      <c r="H416" s="283" t="s">
        <v>1950</v>
      </c>
      <c r="I416" s="283" t="s">
        <v>1682</v>
      </c>
      <c r="J416" s="382" t="s">
        <v>557</v>
      </c>
      <c r="K416" s="289">
        <v>279</v>
      </c>
      <c r="L416" s="289">
        <v>279</v>
      </c>
      <c r="M416" s="289">
        <v>279</v>
      </c>
      <c r="N416" s="60">
        <v>279</v>
      </c>
      <c r="O416" s="10"/>
      <c r="P416" s="10"/>
    </row>
    <row r="417" spans="1:16">
      <c r="A417">
        <f t="shared" si="13"/>
        <v>416</v>
      </c>
      <c r="B417" t="s">
        <v>1538</v>
      </c>
      <c r="C417" s="3">
        <v>1</v>
      </c>
      <c r="D417" s="3">
        <v>665</v>
      </c>
      <c r="E417" s="10">
        <f ca="1">VLOOKUP( Aop!$A417, Aop!$A$2:$P$456, ID_Jezik +10, 1)</f>
        <v>271</v>
      </c>
      <c r="F417" s="3" t="str">
        <f ca="1">REPT( "  ", Aop!$C417) &amp; VLOOKUP( Aop!$A417, Aop!$A$2:$P$456, ID_Jezik + 6, 1)</f>
        <v xml:space="preserve">  PDV plaćen pri uvozu (kumulativan promet konta)</v>
      </c>
      <c r="G417" s="285" t="s">
        <v>1951</v>
      </c>
      <c r="H417" s="283" t="s">
        <v>1952</v>
      </c>
      <c r="I417" s="283" t="s">
        <v>1683</v>
      </c>
      <c r="J417" s="381" t="s">
        <v>558</v>
      </c>
      <c r="K417" s="289">
        <v>271</v>
      </c>
      <c r="L417" s="289">
        <v>271</v>
      </c>
      <c r="M417" s="289">
        <v>271</v>
      </c>
      <c r="N417" s="66">
        <v>271</v>
      </c>
      <c r="O417" s="10"/>
      <c r="P417" s="10"/>
    </row>
    <row r="418" spans="1:16">
      <c r="A418">
        <f t="shared" si="13"/>
        <v>417</v>
      </c>
      <c r="B418" t="s">
        <v>1538</v>
      </c>
      <c r="C418" s="3">
        <v>1</v>
      </c>
      <c r="D418" s="3">
        <v>666</v>
      </c>
      <c r="E418" s="10">
        <f ca="1">VLOOKUP( Aop!$A418, Aop!$A$2:$P$456, ID_Jezik +10, 1)</f>
        <v>484</v>
      </c>
      <c r="F418" s="3" t="str">
        <f ca="1">REPT( "  ", Aop!$C418) &amp; VLOOKUP( Aop!$A418, Aop!$A$2:$P$456, ID_Jezik + 6, 1)</f>
        <v xml:space="preserve">  Obaveze za PDV plaćen pri uvozu (kumulativan promet konta)</v>
      </c>
      <c r="G418" s="285" t="s">
        <v>1684</v>
      </c>
      <c r="H418" s="283" t="s">
        <v>1953</v>
      </c>
      <c r="I418" s="283" t="s">
        <v>1685</v>
      </c>
      <c r="J418" s="382" t="s">
        <v>559</v>
      </c>
      <c r="K418" s="289">
        <v>484</v>
      </c>
      <c r="L418" s="289">
        <v>484</v>
      </c>
      <c r="M418" s="289">
        <v>484</v>
      </c>
      <c r="N418" s="60">
        <v>484</v>
      </c>
      <c r="O418" s="10"/>
      <c r="P418" s="10"/>
    </row>
    <row r="419" spans="1:16">
      <c r="A419">
        <f t="shared" si="13"/>
        <v>418</v>
      </c>
      <c r="B419" t="s">
        <v>1538</v>
      </c>
      <c r="C419" s="3">
        <v>1</v>
      </c>
      <c r="D419" s="3">
        <v>667</v>
      </c>
      <c r="E419" s="10">
        <f ca="1">VLOOKUP( Aop!$A419, Aop!$A$2:$P$456, ID_Jezik +10, 1)</f>
        <v>480</v>
      </c>
      <c r="F419" s="3" t="str">
        <f ca="1">REPT( "  ", Aop!$C419) &amp; VLOOKUP( Aop!$A419, Aop!$A$2:$P$456, ID_Jezik + 6, 1)</f>
        <v xml:space="preserve">  Obaveze za akcize (kumulativan promet konta)</v>
      </c>
      <c r="G419" s="285" t="s">
        <v>1686</v>
      </c>
      <c r="H419" s="283" t="s">
        <v>1954</v>
      </c>
      <c r="I419" s="283" t="s">
        <v>1687</v>
      </c>
      <c r="J419" s="381" t="s">
        <v>560</v>
      </c>
      <c r="K419" s="289">
        <v>480</v>
      </c>
      <c r="L419" s="289">
        <v>480</v>
      </c>
      <c r="M419" s="289">
        <v>480</v>
      </c>
      <c r="N419" s="66">
        <v>480</v>
      </c>
      <c r="O419" s="10"/>
      <c r="P419" s="10"/>
    </row>
    <row r="420" spans="1:16">
      <c r="A420">
        <f t="shared" si="13"/>
        <v>419</v>
      </c>
      <c r="B420" t="s">
        <v>1538</v>
      </c>
      <c r="C420" s="3">
        <v>1</v>
      </c>
      <c r="D420" s="3">
        <v>668</v>
      </c>
      <c r="E420" s="10" t="str">
        <f ca="1">VLOOKUP( Aop!$A420, Aop!$A$2:$P$456, ID_Jezik +10, 1)</f>
        <v>nema konta</v>
      </c>
      <c r="F420" s="3" t="str">
        <f ca="1">REPT( "  ", Aop!$C420) &amp; VLOOKUP( Aop!$A420, Aop!$A$2:$P$456, ID_Jezik + 6, 1)</f>
        <v xml:space="preserve">  Prihodi ostvareni na bazi podugovaranja</v>
      </c>
      <c r="G420" s="285" t="s">
        <v>1688</v>
      </c>
      <c r="H420" s="283" t="s">
        <v>1955</v>
      </c>
      <c r="I420" s="283" t="s">
        <v>1689</v>
      </c>
      <c r="J420" s="382" t="s">
        <v>561</v>
      </c>
      <c r="K420" s="289" t="s">
        <v>2121</v>
      </c>
      <c r="L420" s="289" t="s">
        <v>2151</v>
      </c>
      <c r="M420" s="289"/>
      <c r="N420" s="60" t="s">
        <v>551</v>
      </c>
      <c r="O420" s="10"/>
      <c r="P420" s="10"/>
    </row>
    <row r="421" spans="1:16">
      <c r="A421">
        <f t="shared" si="13"/>
        <v>420</v>
      </c>
      <c r="B421" t="s">
        <v>1538</v>
      </c>
      <c r="C421" s="3">
        <v>1</v>
      </c>
      <c r="D421" s="3">
        <v>669</v>
      </c>
      <c r="E421" s="10" t="str">
        <f ca="1">VLOOKUP( Aop!$A421, Aop!$A$2:$P$456, ID_Jezik +10, 1)</f>
        <v>nema konta</v>
      </c>
      <c r="F421" s="3" t="str">
        <f ca="1">REPT( "  ", Aop!$C421) &amp; VLOOKUP( Aop!$A421, Aop!$A$2:$P$456, ID_Jezik + 6, 1)</f>
        <v xml:space="preserve">  Plaćanja podugovaračima za rad, isporučene proizvode i usluge</v>
      </c>
      <c r="G421" s="285" t="s">
        <v>2477</v>
      </c>
      <c r="H421" s="283" t="s">
        <v>1956</v>
      </c>
      <c r="I421" s="283" t="s">
        <v>1690</v>
      </c>
      <c r="J421" s="381" t="s">
        <v>562</v>
      </c>
      <c r="K421" s="289" t="s">
        <v>2121</v>
      </c>
      <c r="L421" s="289" t="s">
        <v>2151</v>
      </c>
      <c r="M421" s="289"/>
      <c r="N421" s="66" t="s">
        <v>551</v>
      </c>
      <c r="O421" s="10"/>
      <c r="P421" s="10"/>
    </row>
    <row r="422" spans="1:16" ht="25.5">
      <c r="A422">
        <f t="shared" si="13"/>
        <v>421</v>
      </c>
      <c r="B422" t="s">
        <v>1538</v>
      </c>
      <c r="C422" s="3">
        <v>1</v>
      </c>
      <c r="D422" s="3">
        <v>670</v>
      </c>
      <c r="E422" s="10" t="str">
        <f ca="1">VLOOKUP( Aop!$A422, Aop!$A$2:$P$456, ID_Jezik +10, 1)</f>
        <v>nema konta</v>
      </c>
      <c r="F422" s="3" t="str">
        <f ca="1">REPT( "  ", Aop!$C422) &amp; VLOOKUP( Aop!$A422, Aop!$A$2:$P$456, ID_Jezik + 6, 1)</f>
        <v xml:space="preserve">  Ukupan broj odrađenih časova rada (efektivni časovi rada bez bolovanja, godišnjih odmora, državnih praznika i sl.)</v>
      </c>
      <c r="G422" s="285" t="s">
        <v>2478</v>
      </c>
      <c r="H422" s="283" t="s">
        <v>1957</v>
      </c>
      <c r="I422" s="283" t="s">
        <v>1691</v>
      </c>
      <c r="J422" s="382" t="s">
        <v>563</v>
      </c>
      <c r="K422" s="289" t="s">
        <v>2121</v>
      </c>
      <c r="L422" s="289" t="s">
        <v>2151</v>
      </c>
      <c r="M422" s="289"/>
      <c r="N422" s="244" t="s">
        <v>551</v>
      </c>
      <c r="O422" s="10"/>
      <c r="P422" s="10">
        <v>1</v>
      </c>
    </row>
    <row r="423" spans="1:16">
      <c r="A423">
        <f>ROW()-ROW($A$1)</f>
        <v>422</v>
      </c>
      <c r="B423" t="s">
        <v>1539</v>
      </c>
      <c r="C423" s="3"/>
      <c r="D423" s="3"/>
      <c r="E423" s="10">
        <f ca="1">VLOOKUP( Aop!$A423, Aop!$A$2:$P$456, ID_Jezik +10, 1)</f>
        <v>0</v>
      </c>
      <c r="F423" s="3" t="str">
        <f ca="1">REPT( "  ", Aop!$C423) &amp; VLOOKUP( Aop!$A423, Aop!$A$2:$P$456, ID_Jezik + 6, 1)</f>
        <v/>
      </c>
      <c r="H423" s="283"/>
      <c r="I423" s="283"/>
      <c r="K423" s="289"/>
      <c r="L423" s="289"/>
      <c r="M423" s="289"/>
      <c r="N423" s="287"/>
      <c r="O423" s="10"/>
      <c r="P423" s="10"/>
    </row>
    <row r="424" spans="1:16">
      <c r="A424">
        <f t="shared" si="13"/>
        <v>423</v>
      </c>
      <c r="B424" t="s">
        <v>1539</v>
      </c>
      <c r="C424" s="3">
        <v>0</v>
      </c>
      <c r="D424">
        <v>901</v>
      </c>
      <c r="E424" s="2" t="str">
        <f ca="1">VLOOKUP( Aop!$A424, Aop!$A$2:$P$456, ID_Jezik +10, 1)</f>
        <v>1.</v>
      </c>
      <c r="F424" t="str">
        <f ca="1">REPT( "  ", Aop!$C424) &amp; VLOOKUP( Aop!$A424, Aop!$A$2:$P$456, ID_Jezik + 6, 1)</f>
        <v>Stanje na dan 01.01.2021. god.</v>
      </c>
      <c r="G424" s="303" t="str">
        <f ca="1">CONCATENATE("Stanje na dan ", Podesavanja!$X$6, " god.")</f>
        <v>Stanje na dan 01.01.2021. god.</v>
      </c>
      <c r="H424" s="304" t="str">
        <f ca="1">CONCATENATE("Стање на дан ", Podesavanja!$X$6, " год.")</f>
        <v>Стање на дан 01.01.2021. год.</v>
      </c>
      <c r="I424" s="304" t="str">
        <f ca="1">CONCATENATE("1. Value on day ", Podesavanja!$Y$6)</f>
        <v>1. Value on day 01.01.2021</v>
      </c>
      <c r="J424" s="304" t="str">
        <f ca="1">CONCATENATE("1. Состояние на дату", Podesavanja!$Y$6)</f>
        <v>1. Состояние на дату01.01.2021</v>
      </c>
      <c r="K424" s="289" t="s">
        <v>2089</v>
      </c>
      <c r="L424" s="289" t="s">
        <v>2089</v>
      </c>
      <c r="M424" s="289" t="s">
        <v>2089</v>
      </c>
      <c r="N424" s="289" t="s">
        <v>2089</v>
      </c>
      <c r="O424" s="10">
        <v>1</v>
      </c>
      <c r="P424" s="10"/>
    </row>
    <row r="425" spans="1:16">
      <c r="A425">
        <f>ROW()-ROW($A$1)</f>
        <v>424</v>
      </c>
      <c r="B425" t="s">
        <v>1539</v>
      </c>
      <c r="C425" s="3"/>
      <c r="E425" s="2">
        <f ca="1">VLOOKUP( Aop!$A425, Aop!$A$2:$P$456, ID_Jezik +10, 1)</f>
        <v>0</v>
      </c>
      <c r="F425" t="str">
        <f ca="1">REPT( "  ", Aop!$C425) &amp; VLOOKUP( Aop!$A425, Aop!$A$2:$P$456, ID_Jezik + 6, 1)</f>
        <v/>
      </c>
      <c r="G425" s="303"/>
      <c r="H425" s="304"/>
      <c r="I425" s="304"/>
      <c r="K425" s="289"/>
      <c r="L425" s="289"/>
      <c r="M425" s="289"/>
      <c r="N425" s="289"/>
      <c r="O425" s="10"/>
      <c r="P425" s="10"/>
    </row>
    <row r="426" spans="1:16">
      <c r="A426">
        <f t="shared" si="13"/>
        <v>425</v>
      </c>
      <c r="B426" t="s">
        <v>1539</v>
      </c>
      <c r="C426" s="3">
        <v>2</v>
      </c>
      <c r="D426">
        <v>902</v>
      </c>
      <c r="E426" s="2" t="str">
        <f ca="1">VLOOKUP( Aop!$A426, Aop!$A$2:$P$456, ID_Jezik +10, 1)</f>
        <v>2.</v>
      </c>
      <c r="F426" t="str">
        <f ca="1">REPT( "  ", Aop!$C426) &amp; VLOOKUP( Aop!$A426, Aop!$A$2:$P$456, ID_Jezik + 6, 1)</f>
        <v xml:space="preserve">    2. Efekti promjena u računovodstvenim politikama </v>
      </c>
      <c r="G426" s="285" t="s">
        <v>205</v>
      </c>
      <c r="H426" s="283" t="s">
        <v>236</v>
      </c>
      <c r="I426" s="283" t="s">
        <v>321</v>
      </c>
      <c r="J426" s="278" t="s">
        <v>263</v>
      </c>
      <c r="K426" s="289" t="s">
        <v>2090</v>
      </c>
      <c r="L426" s="289" t="s">
        <v>2090</v>
      </c>
      <c r="M426" s="289" t="s">
        <v>2090</v>
      </c>
      <c r="N426" s="289" t="s">
        <v>2090</v>
      </c>
      <c r="O426" s="10"/>
      <c r="P426" s="10"/>
    </row>
    <row r="427" spans="1:16">
      <c r="A427">
        <f t="shared" si="13"/>
        <v>426</v>
      </c>
      <c r="B427" t="s">
        <v>1539</v>
      </c>
      <c r="C427" s="3">
        <v>2</v>
      </c>
      <c r="D427">
        <v>903</v>
      </c>
      <c r="E427" s="2" t="str">
        <f ca="1">VLOOKUP( Aop!$A427, Aop!$A$2:$P$456, ID_Jezik +10, 1)</f>
        <v>3.</v>
      </c>
      <c r="F427" t="str">
        <f ca="1">REPT( "  ", Aop!$C427) &amp; VLOOKUP( Aop!$A427, Aop!$A$2:$P$456, ID_Jezik + 6, 1)</f>
        <v xml:space="preserve">    3. Efekti ispravki grešaka</v>
      </c>
      <c r="G427" s="285" t="s">
        <v>32</v>
      </c>
      <c r="H427" s="283" t="s">
        <v>29</v>
      </c>
      <c r="I427" s="283" t="s">
        <v>322</v>
      </c>
      <c r="J427" s="278" t="s">
        <v>264</v>
      </c>
      <c r="K427" s="289" t="s">
        <v>2091</v>
      </c>
      <c r="L427" s="289" t="s">
        <v>2091</v>
      </c>
      <c r="M427" s="289" t="s">
        <v>2091</v>
      </c>
      <c r="N427" s="289" t="s">
        <v>2091</v>
      </c>
      <c r="O427" s="10"/>
      <c r="P427" s="10"/>
    </row>
    <row r="428" spans="1:16" ht="25.5">
      <c r="A428">
        <f t="shared" si="13"/>
        <v>427</v>
      </c>
      <c r="B428" t="s">
        <v>1539</v>
      </c>
      <c r="C428" s="3">
        <v>1</v>
      </c>
      <c r="D428">
        <v>904</v>
      </c>
      <c r="E428" s="2" t="str">
        <f ca="1">VLOOKUP( Aop!$A428, Aop!$A$2:$P$456, ID_Jezik +10, 1)</f>
        <v>4.</v>
      </c>
      <c r="F428" t="str">
        <f ca="1">REPT( "  ", Aop!$C428) &amp; VLOOKUP( Aop!$A428, Aop!$A$2:$P$456, ID_Jezik + 6, 1)</f>
        <v xml:space="preserve">  4. Ponovo iskazano stanje na dan 01.01.2021. god. (901 ± 902 ± 903)</v>
      </c>
      <c r="G428" s="308" t="str">
        <f ca="1">CONCATENATE("4. Ponovo iskazano stanje na dan ", Podesavanja!$X$6, " god. (901 ± 902 ± 903)")</f>
        <v>4. Ponovo iskazano stanje na dan 01.01.2021. god. (901 ± 902 ± 903)</v>
      </c>
      <c r="H428" s="304" t="str">
        <f ca="1">CONCATENATE("4. Поново исказано стање на дан ", Podesavanja!$X$6, " год.  (901 ± 902 ± 903)")</f>
        <v>4. Поново исказано стање на дан 01.01.2021. год.  (901 ± 902 ± 903)</v>
      </c>
      <c r="I428" s="304" t="str">
        <f ca="1">CONCATENATE("4. New value on day ",  Podesavanja!$Y$6, " (901 ± 902 ± 903)")</f>
        <v>4. New value on day 01.01.2021 (901 ± 902 ± 903)</v>
      </c>
      <c r="J428" s="307" t="str">
        <f ca="1">CONCATENATE("4. Повторно представленное состояние на дату ", Podesavanja!$X$6, " года (901 ± 902 ± 903)")</f>
        <v>4. Повторно представленное состояние на дату 01.01.2021. года (901 ± 902 ± 903)</v>
      </c>
      <c r="K428" s="289" t="s">
        <v>2092</v>
      </c>
      <c r="L428" s="289" t="s">
        <v>2092</v>
      </c>
      <c r="M428" s="289" t="s">
        <v>2092</v>
      </c>
      <c r="N428" s="289" t="s">
        <v>2092</v>
      </c>
      <c r="O428" s="10">
        <v>1</v>
      </c>
      <c r="P428" s="10"/>
    </row>
    <row r="429" spans="1:16">
      <c r="A429">
        <f>ROW()-ROW($A$1)</f>
        <v>428</v>
      </c>
      <c r="B429" t="s">
        <v>1539</v>
      </c>
      <c r="C429" s="3"/>
      <c r="E429" s="2">
        <f ca="1">VLOOKUP( Aop!$A429, Aop!$A$2:$P$456, ID_Jezik +10, 1)</f>
        <v>0</v>
      </c>
      <c r="F429" t="str">
        <f ca="1">REPT( "  ", Aop!$C429) &amp; VLOOKUP( Aop!$A429, Aop!$A$2:$P$456, ID_Jezik + 6, 1)</f>
        <v/>
      </c>
      <c r="G429" s="304"/>
      <c r="H429" s="304"/>
      <c r="I429" s="304"/>
      <c r="K429" s="289"/>
      <c r="L429" s="289"/>
      <c r="M429" s="289"/>
      <c r="N429" s="289"/>
      <c r="O429" s="10"/>
      <c r="P429" s="10"/>
    </row>
    <row r="430" spans="1:16">
      <c r="A430">
        <f t="shared" si="13"/>
        <v>429</v>
      </c>
      <c r="B430" t="s">
        <v>1539</v>
      </c>
      <c r="C430" s="3">
        <v>2</v>
      </c>
      <c r="D430">
        <v>905</v>
      </c>
      <c r="E430" s="2" t="str">
        <f ca="1">VLOOKUP( Aop!$A430, Aop!$A$2:$P$456, ID_Jezik +10, 1)</f>
        <v>5.</v>
      </c>
      <c r="F430" t="str">
        <f ca="1">REPT( "  ", Aop!$C430) &amp; VLOOKUP( Aop!$A430, Aop!$A$2:$P$456, ID_Jezik + 6, 1)</f>
        <v xml:space="preserve">    5. Dobit/(gubitak) za godinu</v>
      </c>
      <c r="G430" s="283" t="s">
        <v>204</v>
      </c>
      <c r="H430" s="283" t="s">
        <v>237</v>
      </c>
      <c r="I430" s="306" t="s">
        <v>319</v>
      </c>
      <c r="J430" s="278" t="s">
        <v>265</v>
      </c>
      <c r="K430" s="289" t="s">
        <v>2093</v>
      </c>
      <c r="L430" s="289" t="s">
        <v>2093</v>
      </c>
      <c r="M430" s="289" t="s">
        <v>2093</v>
      </c>
      <c r="N430" s="289" t="s">
        <v>2093</v>
      </c>
      <c r="O430" s="10"/>
      <c r="P430" s="10"/>
    </row>
    <row r="431" spans="1:16">
      <c r="A431">
        <f t="shared" si="13"/>
        <v>430</v>
      </c>
      <c r="B431" t="s">
        <v>1539</v>
      </c>
      <c r="C431" s="3">
        <v>2</v>
      </c>
      <c r="D431">
        <v>906</v>
      </c>
      <c r="E431" s="2" t="str">
        <f ca="1">VLOOKUP( Aop!$A431, Aop!$A$2:$P$456, ID_Jezik +10, 1)</f>
        <v>6.</v>
      </c>
      <c r="F431" t="str">
        <f ca="1">REPT( "  ", Aop!$C431) &amp; VLOOKUP( Aop!$A431, Aop!$A$2:$P$456, ID_Jezik + 6, 1)</f>
        <v xml:space="preserve">    6. Ostali ukupni rezultat za godinu</v>
      </c>
      <c r="G431" s="283" t="s">
        <v>206</v>
      </c>
      <c r="H431" s="283" t="s">
        <v>238</v>
      </c>
      <c r="I431" s="306" t="s">
        <v>320</v>
      </c>
      <c r="J431" s="278" t="s">
        <v>266</v>
      </c>
      <c r="K431" s="289" t="s">
        <v>2094</v>
      </c>
      <c r="L431" s="289" t="s">
        <v>2094</v>
      </c>
      <c r="M431" s="289" t="s">
        <v>2094</v>
      </c>
      <c r="N431" s="289" t="s">
        <v>2094</v>
      </c>
      <c r="O431" s="10"/>
      <c r="P431" s="10">
        <v>1</v>
      </c>
    </row>
    <row r="432" spans="1:16">
      <c r="A432">
        <f t="shared" si="13"/>
        <v>431</v>
      </c>
      <c r="B432" t="s">
        <v>1539</v>
      </c>
      <c r="C432" s="3">
        <v>1</v>
      </c>
      <c r="D432">
        <v>907</v>
      </c>
      <c r="E432" s="2" t="str">
        <f ca="1">VLOOKUP( Aop!$A432, Aop!$A$2:$P$456, ID_Jezik +10, 1)</f>
        <v>7.</v>
      </c>
      <c r="F432" t="str">
        <f ca="1">REPT( "  ", Aop!$C432) &amp; VLOOKUP( Aop!$A432, Aop!$A$2:$P$456, ID_Jezik + 6, 1)</f>
        <v xml:space="preserve">  7. Ukupna dobit/(gubitak) 01.01.2021. god. (± 905 ± 906)</v>
      </c>
      <c r="G432" s="308" t="str">
        <f ca="1">CONCATENATE("7. Ukupna dobit/(gubitak) ", Podesavanja!$X$6, " god. (± 905 ± 906)")</f>
        <v>7. Ukupna dobit/(gubitak) 01.01.2021. god. (± 905 ± 906)</v>
      </c>
      <c r="H432" s="308" t="str">
        <f ca="1">CONCATENATE("7. Укупна добит/(губитак) ", Podesavanja!$X$6, " год. (± 905 ± 906)")</f>
        <v>7. Укупна добит/(губитак) 01.01.2021. год. (± 905 ± 906)</v>
      </c>
      <c r="I432" s="308" t="str">
        <f ca="1">CONCATENATE("7. Total profit/(loss) ", Podesavanja!$X$6, " (± 905 ± 906)")</f>
        <v>7. Total profit/(loss) 01.01.2021. (± 905 ± 906)</v>
      </c>
      <c r="J432" s="279" t="str">
        <f ca="1">CONCATENATE("7. Совокупная прибыль/(убыток) ", Podesavanja!$X$6, " год. (± 905 ± 906)")</f>
        <v>7. Совокупная прибыль/(убыток) 01.01.2021. год. (± 905 ± 906)</v>
      </c>
      <c r="K432" s="289" t="s">
        <v>2095</v>
      </c>
      <c r="L432" s="289" t="s">
        <v>2095</v>
      </c>
      <c r="M432" s="289" t="s">
        <v>2095</v>
      </c>
      <c r="N432" s="289" t="s">
        <v>2095</v>
      </c>
      <c r="O432" s="10"/>
      <c r="P432" s="10">
        <v>1</v>
      </c>
    </row>
    <row r="433" spans="1:16" ht="9.75" customHeight="1">
      <c r="A433">
        <f>ROW()-ROW($A$1)</f>
        <v>432</v>
      </c>
      <c r="B433" t="s">
        <v>1539</v>
      </c>
      <c r="C433" s="3"/>
      <c r="E433" s="2">
        <f ca="1">VLOOKUP( Aop!$A433, Aop!$A$2:$P$456, ID_Jezik +10, 1)</f>
        <v>0</v>
      </c>
      <c r="F433" t="str">
        <f ca="1">REPT( "  ", Aop!$C433) &amp; VLOOKUP( Aop!$A433, Aop!$A$2:$P$456, ID_Jezik + 6, 1)</f>
        <v/>
      </c>
      <c r="G433" s="283"/>
      <c r="H433" s="283"/>
      <c r="I433" s="283"/>
      <c r="K433" s="289"/>
      <c r="L433" s="289"/>
      <c r="M433" s="289"/>
      <c r="N433" s="289"/>
      <c r="O433" s="10"/>
      <c r="P433" s="10"/>
    </row>
    <row r="434" spans="1:16">
      <c r="A434">
        <f t="shared" si="13"/>
        <v>433</v>
      </c>
      <c r="B434" t="s">
        <v>1539</v>
      </c>
      <c r="C434" s="3">
        <v>2</v>
      </c>
      <c r="D434">
        <v>908</v>
      </c>
      <c r="E434" s="2" t="str">
        <f ca="1">VLOOKUP( Aop!$A434, Aop!$A$2:$P$456, ID_Jezik +10, 1)</f>
        <v>8.</v>
      </c>
      <c r="F434" t="str">
        <f ca="1">REPT( "  ", Aop!$C434) &amp; VLOOKUP( Aop!$A434, Aop!$A$2:$P$456, ID_Jezik + 6, 1)</f>
        <v xml:space="preserve">    8. Emisija akcijskog kapitala i drugi oblici povećanja kapitala</v>
      </c>
      <c r="G434" s="283" t="s">
        <v>31</v>
      </c>
      <c r="H434" s="283" t="s">
        <v>30</v>
      </c>
      <c r="I434" s="306" t="s">
        <v>323</v>
      </c>
      <c r="J434" s="278" t="s">
        <v>267</v>
      </c>
      <c r="K434" s="289" t="s">
        <v>2096</v>
      </c>
      <c r="L434" s="289" t="s">
        <v>2096</v>
      </c>
      <c r="M434" s="289" t="s">
        <v>2096</v>
      </c>
      <c r="N434" s="289" t="s">
        <v>2096</v>
      </c>
      <c r="O434" s="10"/>
      <c r="P434" s="10"/>
    </row>
    <row r="435" spans="1:16">
      <c r="A435">
        <f t="shared" si="13"/>
        <v>434</v>
      </c>
      <c r="B435" t="s">
        <v>1539</v>
      </c>
      <c r="C435" s="3">
        <v>2</v>
      </c>
      <c r="D435">
        <v>909</v>
      </c>
      <c r="E435" s="2" t="str">
        <f ca="1">VLOOKUP( Aop!$A435, Aop!$A$2:$P$456, ID_Jezik +10, 1)</f>
        <v>9.</v>
      </c>
      <c r="F435" t="str">
        <f ca="1">REPT( "  ", Aop!$C435) &amp; VLOOKUP( Aop!$A435, Aop!$A$2:$P$456, ID_Jezik + 6, 1)</f>
        <v xml:space="preserve">    9. Sticanje sopstvenih akcija i drugi oblici smanjenja kapitala</v>
      </c>
      <c r="G435" s="283" t="s">
        <v>207</v>
      </c>
      <c r="H435" s="283" t="s">
        <v>239</v>
      </c>
      <c r="I435" s="306" t="s">
        <v>324</v>
      </c>
      <c r="J435" s="278" t="s">
        <v>268</v>
      </c>
      <c r="K435" s="289" t="s">
        <v>2097</v>
      </c>
      <c r="L435" s="289" t="s">
        <v>2097</v>
      </c>
      <c r="M435" s="289" t="s">
        <v>2097</v>
      </c>
      <c r="N435" s="289" t="s">
        <v>2097</v>
      </c>
      <c r="O435" s="10"/>
      <c r="P435" s="10"/>
    </row>
    <row r="436" spans="1:16">
      <c r="A436">
        <f t="shared" si="13"/>
        <v>435</v>
      </c>
      <c r="B436" t="s">
        <v>1539</v>
      </c>
      <c r="C436" s="3">
        <v>2</v>
      </c>
      <c r="D436">
        <v>910</v>
      </c>
      <c r="E436" s="2" t="str">
        <f ca="1">VLOOKUP( Aop!$A436, Aop!$A$2:$P$456, ID_Jezik +10, 1)</f>
        <v>10.</v>
      </c>
      <c r="F436" t="str">
        <f ca="1">REPT( "  ", Aop!$C436) &amp; VLOOKUP( Aop!$A436, Aop!$A$2:$P$456, ID_Jezik + 6, 1)</f>
        <v xml:space="preserve">    10. Objavljene dividende </v>
      </c>
      <c r="G436" s="283" t="s">
        <v>208</v>
      </c>
      <c r="H436" s="283" t="s">
        <v>240</v>
      </c>
      <c r="I436" s="306" t="s">
        <v>317</v>
      </c>
      <c r="J436" s="278" t="s">
        <v>269</v>
      </c>
      <c r="K436" s="289" t="s">
        <v>2098</v>
      </c>
      <c r="L436" s="289" t="s">
        <v>2098</v>
      </c>
      <c r="M436" s="289" t="s">
        <v>2098</v>
      </c>
      <c r="N436" s="289" t="s">
        <v>2098</v>
      </c>
      <c r="O436" s="10"/>
      <c r="P436" s="10"/>
    </row>
    <row r="437" spans="1:16">
      <c r="A437">
        <f t="shared" si="13"/>
        <v>436</v>
      </c>
      <c r="B437" t="s">
        <v>1539</v>
      </c>
      <c r="C437" s="3">
        <v>2</v>
      </c>
      <c r="D437">
        <v>911</v>
      </c>
      <c r="E437" s="2" t="str">
        <f ca="1">VLOOKUP( Aop!$A437, Aop!$A$2:$P$456, ID_Jezik +10, 1)</f>
        <v>11.</v>
      </c>
      <c r="F437" t="str">
        <f ca="1">REPT( "  ", Aop!$C437) &amp; VLOOKUP( Aop!$A437, Aop!$A$2:$P$456, ID_Jezik + 6, 1)</f>
        <v xml:space="preserve">    11. Drugi oblici raspodjele dobiti i pokriće gubitka</v>
      </c>
      <c r="G437" s="283" t="s">
        <v>209</v>
      </c>
      <c r="H437" s="283" t="s">
        <v>241</v>
      </c>
      <c r="I437" s="306" t="s">
        <v>318</v>
      </c>
      <c r="J437" s="278" t="s">
        <v>270</v>
      </c>
      <c r="K437" s="289" t="s">
        <v>2099</v>
      </c>
      <c r="L437" s="289" t="s">
        <v>2099</v>
      </c>
      <c r="M437" s="289" t="s">
        <v>2099</v>
      </c>
      <c r="N437" s="289" t="s">
        <v>2099</v>
      </c>
      <c r="O437" s="10"/>
      <c r="P437" s="10"/>
    </row>
    <row r="438" spans="1:16">
      <c r="A438">
        <f t="shared" si="13"/>
        <v>437</v>
      </c>
      <c r="B438" t="s">
        <v>1539</v>
      </c>
      <c r="C438" s="3">
        <v>2</v>
      </c>
      <c r="D438">
        <v>912</v>
      </c>
      <c r="E438" s="2" t="str">
        <f ca="1">VLOOKUP( Aop!$A438, Aop!$A$2:$P$456, ID_Jezik +10, 1)</f>
        <v>12.</v>
      </c>
      <c r="F438" t="str">
        <f ca="1">REPT( "  ", Aop!$C438) &amp; VLOOKUP( Aop!$A438, Aop!$A$2:$P$456, ID_Jezik + 6, 1)</f>
        <v xml:space="preserve">    12. Ostale promjene</v>
      </c>
      <c r="G438" s="304" t="s">
        <v>210</v>
      </c>
      <c r="H438" s="304" t="s">
        <v>242</v>
      </c>
      <c r="I438" s="304" t="s">
        <v>316</v>
      </c>
      <c r="J438" s="304" t="s">
        <v>271</v>
      </c>
      <c r="K438" s="289" t="s">
        <v>2100</v>
      </c>
      <c r="L438" s="289" t="s">
        <v>2100</v>
      </c>
      <c r="M438" s="289" t="s">
        <v>2100</v>
      </c>
      <c r="N438" s="289" t="s">
        <v>2100</v>
      </c>
      <c r="O438" s="10">
        <v>1</v>
      </c>
      <c r="P438" s="10">
        <v>1</v>
      </c>
    </row>
    <row r="439" spans="1:16">
      <c r="A439">
        <f>ROW()-ROW($A$1)</f>
        <v>438</v>
      </c>
      <c r="B439" t="s">
        <v>1539</v>
      </c>
      <c r="C439" s="3"/>
      <c r="E439" s="2">
        <f ca="1">VLOOKUP( Aop!$A439, Aop!$A$2:$P$456, ID_Jezik +10, 1)</f>
        <v>0</v>
      </c>
      <c r="F439" t="str">
        <f ca="1">REPT( "  ", Aop!$C439) &amp; VLOOKUP( Aop!$A439, Aop!$A$2:$P$456, ID_Jezik + 6, 1)</f>
        <v/>
      </c>
      <c r="G439" s="304"/>
      <c r="H439" s="304"/>
      <c r="I439" s="304"/>
      <c r="J439" s="280"/>
      <c r="K439" s="289"/>
      <c r="L439" s="289"/>
      <c r="M439" s="289"/>
      <c r="N439" s="289"/>
      <c r="O439" s="10"/>
      <c r="P439" s="10"/>
    </row>
    <row r="440" spans="1:16" ht="25.5">
      <c r="A440">
        <f t="shared" si="13"/>
        <v>439</v>
      </c>
      <c r="B440" t="s">
        <v>1539</v>
      </c>
      <c r="C440" s="3">
        <v>1</v>
      </c>
      <c r="D440">
        <v>913</v>
      </c>
      <c r="E440" s="2" t="str">
        <f ca="1">VLOOKUP( Aop!$A440, Aop!$A$2:$P$456, ID_Jezik +10, 1)</f>
        <v>13.</v>
      </c>
      <c r="F440" s="181" t="str">
        <f ca="1">REPT( "  ", Aop!$C440) &amp; VLOOKUP( Aop!$A440, Aop!$A$2:$P$456, ID_Jezik + 6, 1)</f>
        <v xml:space="preserve">  13. Stanje na dan 31.12.2021. god. / 01.01.2022. god. 
   (904 ± 907 ± 908 - 909 - 910 ± 911 ± 912)</v>
      </c>
      <c r="G440" s="304" t="str">
        <f ca="1">CONCATENATE("13. Stanje na dan ", Podesavanja!$X$5, " god. / ", Podesavanja!$X$4, " god. 
   (904 ± 907 ± 908 - 909 - 910 ± 911 ± 912)")</f>
        <v>13. Stanje na dan 31.12.2021. god. / 01.01.2022. god. 
   (904 ± 907 ± 908 - 909 - 910 ± 911 ± 912)</v>
      </c>
      <c r="H440" s="304" t="str">
        <f ca="1">CONCATENATE("13. Стање на дан ", Podesavanja!$X$5, " год. / ", Podesavanja!$X$4, " год. 
(904 ± 907 ± 908 - 909 - 910 ± 911 ± 912)")</f>
        <v>13. Стање на дан 31.12.2021. год. / 01.01.2022. год. 
(904 ± 907 ± 908 - 909 - 910 ± 911 ± 912)</v>
      </c>
      <c r="I440" s="304" t="str">
        <f ca="1">CONCATENATE("13. Value on day ", Podesavanja!$Y$5," / ", Podesavanja!$Y$4, " 
(904 ± 907 ± 908 - 909 - 910 ± 911 ± 912)")</f>
        <v>13. Value on day 31.12.2021 / 01.01.2022 
(904 ± 907 ± 908 - 909 - 910 ± 911 ± 912)</v>
      </c>
      <c r="J440" s="304" t="str">
        <f ca="1">CONCATENATE("13. Состояние на дату ", Podesavanja!$X$5, " года / ", Podesavanja!$X$4, " god. 
(904 ± 907 ± 908 - 909 - 910 ± 911 ± 912)")</f>
        <v>13. Состояние на дату 31.12.2021. года / 01.01.2022. god. 
(904 ± 907 ± 908 - 909 - 910 ± 911 ± 912)</v>
      </c>
      <c r="K440" s="289" t="s">
        <v>2101</v>
      </c>
      <c r="L440" s="289" t="s">
        <v>2101</v>
      </c>
      <c r="M440" s="289" t="s">
        <v>2101</v>
      </c>
      <c r="N440" s="289" t="s">
        <v>2101</v>
      </c>
      <c r="O440" s="10"/>
      <c r="P440" s="10"/>
    </row>
    <row r="441" spans="1:16">
      <c r="A441">
        <f>ROW()-ROW($A$1)</f>
        <v>440</v>
      </c>
      <c r="B441" t="s">
        <v>1539</v>
      </c>
      <c r="C441" s="3"/>
      <c r="E441" s="2">
        <f ca="1">VLOOKUP( Aop!$A441, Aop!$A$2:$P$456, ID_Jezik +10, 1)</f>
        <v>0</v>
      </c>
      <c r="F441" t="str">
        <f ca="1">REPT( "  ", Aop!$C441) &amp; VLOOKUP( Aop!$A441, Aop!$A$2:$P$456, ID_Jezik + 6, 1)</f>
        <v/>
      </c>
      <c r="G441" s="299"/>
      <c r="H441" s="283"/>
      <c r="I441" s="283"/>
      <c r="K441" s="289"/>
      <c r="L441" s="289"/>
      <c r="M441" s="289"/>
      <c r="N441" s="289"/>
      <c r="O441" s="10"/>
      <c r="P441" s="10"/>
    </row>
    <row r="442" spans="1:16">
      <c r="A442">
        <f t="shared" si="13"/>
        <v>441</v>
      </c>
      <c r="B442" t="s">
        <v>1539</v>
      </c>
      <c r="C442" s="3">
        <v>2</v>
      </c>
      <c r="D442">
        <v>914</v>
      </c>
      <c r="E442" s="2" t="str">
        <f ca="1">VLOOKUP( Aop!$A442, Aop!$A$2:$P$456, ID_Jezik +10, 1)</f>
        <v>14.</v>
      </c>
      <c r="F442" t="str">
        <f ca="1">REPT( "  ", Aop!$C442) &amp; VLOOKUP( Aop!$A442, Aop!$A$2:$P$456, ID_Jezik + 6, 1)</f>
        <v xml:space="preserve">    14. Efekti promjena u računovodstvenim politikama</v>
      </c>
      <c r="G442" s="283" t="s">
        <v>211</v>
      </c>
      <c r="H442" s="283" t="s">
        <v>243</v>
      </c>
      <c r="I442" s="306" t="s">
        <v>325</v>
      </c>
      <c r="J442" s="278" t="s">
        <v>272</v>
      </c>
      <c r="K442" s="289" t="s">
        <v>2102</v>
      </c>
      <c r="L442" s="289" t="s">
        <v>2102</v>
      </c>
      <c r="M442" s="289" t="s">
        <v>2102</v>
      </c>
      <c r="N442" s="289" t="s">
        <v>2102</v>
      </c>
      <c r="O442" s="10"/>
      <c r="P442" s="10"/>
    </row>
    <row r="443" spans="1:16">
      <c r="A443">
        <f>ROW()-ROW($A$1)</f>
        <v>442</v>
      </c>
      <c r="B443" t="s">
        <v>1539</v>
      </c>
      <c r="C443" s="3">
        <v>2</v>
      </c>
      <c r="D443">
        <v>915</v>
      </c>
      <c r="E443" s="2" t="str">
        <f ca="1">VLOOKUP( Aop!$A443, Aop!$A$2:$P$456, ID_Jezik +10, 1)</f>
        <v>15</v>
      </c>
      <c r="F443" t="str">
        <f ca="1">REPT( "  ", Aop!$C443) &amp; VLOOKUP( Aop!$A443, Aop!$A$2:$P$456, ID_Jezik + 6, 1)</f>
        <v xml:space="preserve">    15. Efekti ispravke grešaka</v>
      </c>
      <c r="G443" s="283" t="s">
        <v>212</v>
      </c>
      <c r="H443" s="283" t="s">
        <v>244</v>
      </c>
      <c r="I443" s="306" t="s">
        <v>326</v>
      </c>
      <c r="J443" s="278" t="s">
        <v>273</v>
      </c>
      <c r="K443" s="289" t="s">
        <v>1240</v>
      </c>
      <c r="L443" s="289" t="s">
        <v>1240</v>
      </c>
      <c r="M443" s="289" t="s">
        <v>1240</v>
      </c>
      <c r="N443" s="289" t="s">
        <v>1240</v>
      </c>
      <c r="O443" s="10"/>
      <c r="P443" s="10"/>
    </row>
    <row r="444" spans="1:16">
      <c r="A444">
        <f t="shared" si="13"/>
        <v>443</v>
      </c>
      <c r="B444" t="s">
        <v>1539</v>
      </c>
      <c r="C444" s="3">
        <v>1</v>
      </c>
      <c r="D444">
        <v>916</v>
      </c>
      <c r="E444" s="2" t="str">
        <f ca="1">VLOOKUP( Aop!$A444, Aop!$A$2:$P$456, ID_Jezik +10, 1)</f>
        <v>16</v>
      </c>
      <c r="F444" t="str">
        <f ca="1">REPT( "  ", Aop!$C444) &amp; VLOOKUP( Aop!$A444, Aop!$A$2:$P$456, ID_Jezik + 6, 1)</f>
        <v xml:space="preserve">  Ponovo iskazano stanje na dan 01.01.2022. godine (913 ± 914 ± 915)</v>
      </c>
      <c r="G444" s="304" t="str">
        <f ca="1">CONCATENATE("Ponovo iskazano stanje na dan ", Podesavanja!$X$4, " godine (913 ± 914 ± 915)")</f>
        <v>Ponovo iskazano stanje na dan 01.01.2022. godine (913 ± 914 ± 915)</v>
      </c>
      <c r="H444" s="304" t="str">
        <f ca="1">CONCATENATE("Поново исказано стање на дан ", Podesavanja!$X$4, " године (913 ± 914 ± 915)")</f>
        <v>Поново исказано стање на дан 01.01.2022. године (913 ± 914 ± 915)</v>
      </c>
      <c r="I444" s="304" t="str">
        <f ca="1">CONCATENATE("16. New value on day ",  Podesavanja!$Y$4," (913 ± 914 ± 915)")</f>
        <v>16. New value on day 01.01.2022 (913 ± 914 ± 915)</v>
      </c>
      <c r="J444" s="304" t="str">
        <f ca="1">CONCATENATE("16. Повторно представленное состояние", Podesavanja!$X$4, " года (913 ± 914 ± 915)")</f>
        <v>16. Повторно представленное состояние01.01.2022. года (913 ± 914 ± 915)</v>
      </c>
      <c r="K444" s="289" t="s">
        <v>220</v>
      </c>
      <c r="L444" s="289" t="s">
        <v>220</v>
      </c>
      <c r="M444" s="289" t="s">
        <v>220</v>
      </c>
      <c r="N444" s="289" t="s">
        <v>220</v>
      </c>
      <c r="O444" s="10">
        <v>1</v>
      </c>
      <c r="P444" s="10"/>
    </row>
    <row r="445" spans="1:16">
      <c r="A445">
        <f>ROW()-ROW($A$1)</f>
        <v>444</v>
      </c>
      <c r="B445" t="s">
        <v>1539</v>
      </c>
      <c r="C445" s="3"/>
      <c r="E445" s="2">
        <f ca="1">VLOOKUP( Aop!$A445, Aop!$A$2:$P$456, ID_Jezik +10, 1)</f>
        <v>0</v>
      </c>
      <c r="F445" t="str">
        <f ca="1">REPT( "  ", Aop!$C445) &amp; VLOOKUP( Aop!$A445, Aop!$A$2:$P$456, ID_Jezik + 6, 1)</f>
        <v/>
      </c>
      <c r="G445" s="304"/>
      <c r="H445" s="304"/>
      <c r="I445" s="304"/>
      <c r="J445" s="280"/>
      <c r="K445" s="289"/>
      <c r="L445" s="289"/>
      <c r="M445" s="289"/>
      <c r="N445" s="289"/>
      <c r="O445" s="10"/>
      <c r="P445" s="10"/>
    </row>
    <row r="446" spans="1:16">
      <c r="A446">
        <f t="shared" si="13"/>
        <v>445</v>
      </c>
      <c r="B446" t="s">
        <v>1539</v>
      </c>
      <c r="C446" s="3">
        <v>2</v>
      </c>
      <c r="D446">
        <v>917</v>
      </c>
      <c r="E446" s="2" t="str">
        <f ca="1">VLOOKUP( Aop!$A446, Aop!$A$2:$P$456, ID_Jezik +10, 1)</f>
        <v>17</v>
      </c>
      <c r="F446" t="str">
        <f ca="1">REPT( "  ", Aop!$C446) &amp; VLOOKUP( Aop!$A446, Aop!$A$2:$P$456, ID_Jezik + 6, 1)</f>
        <v xml:space="preserve">    17. Dobit/(gubitak) za godinu</v>
      </c>
      <c r="G446" s="283" t="s">
        <v>213</v>
      </c>
      <c r="H446" s="283" t="s">
        <v>245</v>
      </c>
      <c r="I446" s="306" t="s">
        <v>328</v>
      </c>
      <c r="J446" s="277" t="s">
        <v>274</v>
      </c>
      <c r="K446" s="289" t="s">
        <v>221</v>
      </c>
      <c r="L446" s="289" t="s">
        <v>221</v>
      </c>
      <c r="M446" s="289" t="s">
        <v>221</v>
      </c>
      <c r="N446" s="289" t="s">
        <v>221</v>
      </c>
      <c r="O446" s="10"/>
      <c r="P446" s="10"/>
    </row>
    <row r="447" spans="1:16">
      <c r="A447">
        <f t="shared" si="13"/>
        <v>446</v>
      </c>
      <c r="B447" t="s">
        <v>1539</v>
      </c>
      <c r="C447" s="3">
        <v>2</v>
      </c>
      <c r="D447">
        <v>918</v>
      </c>
      <c r="E447" s="2" t="str">
        <f ca="1">VLOOKUP( Aop!$A447, Aop!$A$2:$P$456, ID_Jezik +10, 1)</f>
        <v>18</v>
      </c>
      <c r="F447" t="str">
        <f ca="1">REPT( "  ", Aop!$C447) &amp; VLOOKUP( Aop!$A447, Aop!$A$2:$P$456, ID_Jezik + 6, 1)</f>
        <v xml:space="preserve">    18. Ostali ukupni rezultatat</v>
      </c>
      <c r="G447" s="283" t="s">
        <v>214</v>
      </c>
      <c r="H447" s="283" t="s">
        <v>246</v>
      </c>
      <c r="I447" s="306" t="s">
        <v>327</v>
      </c>
      <c r="J447" s="277" t="s">
        <v>275</v>
      </c>
      <c r="K447" s="289" t="s">
        <v>222</v>
      </c>
      <c r="L447" s="289" t="s">
        <v>222</v>
      </c>
      <c r="M447" s="289" t="s">
        <v>222</v>
      </c>
      <c r="N447" s="289" t="s">
        <v>222</v>
      </c>
      <c r="O447" s="10"/>
      <c r="P447" s="10">
        <v>1</v>
      </c>
    </row>
    <row r="448" spans="1:16">
      <c r="A448">
        <f t="shared" si="13"/>
        <v>447</v>
      </c>
      <c r="B448" t="s">
        <v>1539</v>
      </c>
      <c r="C448" s="3">
        <v>1</v>
      </c>
      <c r="D448">
        <v>919</v>
      </c>
      <c r="E448" s="2" t="str">
        <f ca="1">VLOOKUP( Aop!$A448, Aop!$A$2:$P$456, ID_Jezik +10, 1)</f>
        <v>19</v>
      </c>
      <c r="F448" t="str">
        <f ca="1">REPT( "  ", Aop!$C448) &amp; VLOOKUP( Aop!$A448, Aop!$A$2:$P$456, ID_Jezik + 6, 1)</f>
        <v xml:space="preserve">  19. Ukupna dobit/(gubitak) (± 917 ± 918)</v>
      </c>
      <c r="G448" s="308" t="s">
        <v>33</v>
      </c>
      <c r="H448" s="308" t="s">
        <v>34</v>
      </c>
      <c r="I448" s="308" t="s">
        <v>333</v>
      </c>
      <c r="J448" s="308" t="s">
        <v>276</v>
      </c>
      <c r="K448" s="289" t="s">
        <v>223</v>
      </c>
      <c r="L448" s="289" t="s">
        <v>223</v>
      </c>
      <c r="M448" s="289" t="s">
        <v>223</v>
      </c>
      <c r="N448" s="289" t="s">
        <v>223</v>
      </c>
      <c r="O448" s="10"/>
      <c r="P448" s="10">
        <v>1</v>
      </c>
    </row>
    <row r="449" spans="1:16">
      <c r="A449">
        <f>ROW()-ROW($A$1)</f>
        <v>448</v>
      </c>
      <c r="B449" t="s">
        <v>1539</v>
      </c>
      <c r="C449" s="3"/>
      <c r="E449" s="2"/>
      <c r="F449" t="str">
        <f ca="1">REPT( "  ", Aop!$C449) &amp; VLOOKUP( Aop!$A449, Aop!$A$2:$P$456, ID_Jezik + 6, 1)</f>
        <v/>
      </c>
      <c r="G449" s="283"/>
      <c r="H449" s="283"/>
      <c r="I449" s="283"/>
      <c r="J449" s="283"/>
      <c r="K449" s="289"/>
      <c r="L449" s="289"/>
      <c r="M449" s="289"/>
      <c r="N449" s="289"/>
      <c r="O449" s="10"/>
      <c r="P449" s="10"/>
    </row>
    <row r="450" spans="1:16">
      <c r="A450">
        <f>ROW()-ROW($A$1)</f>
        <v>449</v>
      </c>
      <c r="B450" t="s">
        <v>1539</v>
      </c>
      <c r="C450" s="3">
        <v>2</v>
      </c>
      <c r="D450">
        <v>920</v>
      </c>
      <c r="E450" s="2" t="str">
        <f ca="1">VLOOKUP( Aop!$A450, Aop!$A$2:$P$456, ID_Jezik +10, 1)</f>
        <v>20</v>
      </c>
      <c r="F450" t="str">
        <f ca="1">REPT( "  ", Aop!$C450) &amp; VLOOKUP( Aop!$A450, Aop!$A$2:$P$456, ID_Jezik + 6, 1)</f>
        <v xml:space="preserve">    20. Emisija akcijskog kapitala i drugi oblici povećanja kapitala</v>
      </c>
      <c r="G450" s="283" t="s">
        <v>215</v>
      </c>
      <c r="H450" s="283" t="s">
        <v>247</v>
      </c>
      <c r="I450" s="305" t="s">
        <v>329</v>
      </c>
      <c r="J450" s="277" t="s">
        <v>277</v>
      </c>
      <c r="K450" s="289" t="s">
        <v>224</v>
      </c>
      <c r="L450" s="289" t="s">
        <v>224</v>
      </c>
      <c r="M450" s="289" t="s">
        <v>224</v>
      </c>
      <c r="N450" s="289" t="s">
        <v>224</v>
      </c>
      <c r="O450" s="10"/>
      <c r="P450" s="10"/>
    </row>
    <row r="451" spans="1:16">
      <c r="A451">
        <f t="shared" si="13"/>
        <v>450</v>
      </c>
      <c r="B451" t="s">
        <v>1539</v>
      </c>
      <c r="C451" s="3">
        <v>2</v>
      </c>
      <c r="D451">
        <v>921</v>
      </c>
      <c r="E451" s="2" t="str">
        <f ca="1">VLOOKUP( Aop!$A451, Aop!$A$2:$P$456, ID_Jezik +10, 1)</f>
        <v>21</v>
      </c>
      <c r="F451" t="str">
        <f ca="1">REPT( "  ", Aop!$C451) &amp; VLOOKUP( Aop!$A451, Aop!$A$2:$P$456, ID_Jezik + 6, 1)</f>
        <v xml:space="preserve">    21. Sticanje sopstvenih akcija i drugi oblici smanjenja kapitala</v>
      </c>
      <c r="G451" s="283" t="s">
        <v>216</v>
      </c>
      <c r="H451" s="283" t="s">
        <v>248</v>
      </c>
      <c r="I451" s="306" t="s">
        <v>330</v>
      </c>
      <c r="J451" s="277" t="s">
        <v>278</v>
      </c>
      <c r="K451" s="289" t="s">
        <v>225</v>
      </c>
      <c r="L451" s="289" t="s">
        <v>225</v>
      </c>
      <c r="M451" s="289" t="s">
        <v>225</v>
      </c>
      <c r="N451" s="289" t="s">
        <v>225</v>
      </c>
      <c r="O451" s="10"/>
      <c r="P451" s="10"/>
    </row>
    <row r="452" spans="1:16">
      <c r="A452">
        <f t="shared" si="13"/>
        <v>451</v>
      </c>
      <c r="B452" t="s">
        <v>1539</v>
      </c>
      <c r="C452" s="3">
        <v>2</v>
      </c>
      <c r="D452">
        <v>922</v>
      </c>
      <c r="E452" s="2" t="str">
        <f ca="1">VLOOKUP( Aop!$A452, Aop!$A$2:$P$456, ID_Jezik +10, 1)</f>
        <v>22</v>
      </c>
      <c r="F452" t="str">
        <f ca="1">REPT( "  ", Aop!$C452) &amp; VLOOKUP( Aop!$A452, Aop!$A$2:$P$456, ID_Jezik + 6, 1)</f>
        <v xml:space="preserve">    22. Objavljene dividende </v>
      </c>
      <c r="G452" s="283" t="s">
        <v>217</v>
      </c>
      <c r="H452" s="283" t="s">
        <v>249</v>
      </c>
      <c r="I452" s="306" t="s">
        <v>331</v>
      </c>
      <c r="J452" s="277" t="s">
        <v>279</v>
      </c>
      <c r="K452" s="289" t="s">
        <v>226</v>
      </c>
      <c r="L452" s="289" t="s">
        <v>226</v>
      </c>
      <c r="M452" s="289" t="s">
        <v>226</v>
      </c>
      <c r="N452" s="289" t="s">
        <v>226</v>
      </c>
      <c r="O452" s="10"/>
      <c r="P452" s="10"/>
    </row>
    <row r="453" spans="1:16">
      <c r="A453">
        <f t="shared" si="13"/>
        <v>452</v>
      </c>
      <c r="B453" t="s">
        <v>1539</v>
      </c>
      <c r="C453" s="3">
        <v>2</v>
      </c>
      <c r="D453">
        <v>923</v>
      </c>
      <c r="E453" s="2" t="str">
        <f ca="1">VLOOKUP( Aop!$A453, Aop!$A$2:$P$456, ID_Jezik +10, 1)</f>
        <v>23</v>
      </c>
      <c r="F453" t="str">
        <f ca="1">REPT( "  ", Aop!$C453) &amp; VLOOKUP( Aop!$A453, Aop!$A$2:$P$456, ID_Jezik + 6, 1)</f>
        <v xml:space="preserve">    23. Drugi oblici raspodjele dobiti i pokriće gubitka</v>
      </c>
      <c r="G453" s="283" t="s">
        <v>218</v>
      </c>
      <c r="H453" s="283" t="s">
        <v>250</v>
      </c>
      <c r="I453" s="306" t="s">
        <v>332</v>
      </c>
      <c r="J453" s="277" t="s">
        <v>280</v>
      </c>
      <c r="K453" s="289" t="s">
        <v>227</v>
      </c>
      <c r="L453" s="289" t="s">
        <v>227</v>
      </c>
      <c r="M453" s="289" t="s">
        <v>227</v>
      </c>
      <c r="N453" s="289" t="s">
        <v>227</v>
      </c>
      <c r="O453" s="10"/>
      <c r="P453" s="10"/>
    </row>
    <row r="454" spans="1:16">
      <c r="A454">
        <f t="shared" si="13"/>
        <v>453</v>
      </c>
      <c r="B454" t="s">
        <v>1539</v>
      </c>
      <c r="C454" s="3">
        <v>2</v>
      </c>
      <c r="D454">
        <v>924</v>
      </c>
      <c r="E454" s="2" t="str">
        <f ca="1">VLOOKUP( Aop!$A454, Aop!$A$2:$P$456, ID_Jezik +10, 1)</f>
        <v>24</v>
      </c>
      <c r="F454" t="str">
        <f ca="1">REPT( "  ", Aop!$C454) &amp; VLOOKUP( Aop!$A454, Aop!$A$2:$P$456, ID_Jezik + 6, 1)</f>
        <v xml:space="preserve">    24. Ostale promjene</v>
      </c>
      <c r="G454" s="283" t="s">
        <v>219</v>
      </c>
      <c r="H454" s="283" t="s">
        <v>251</v>
      </c>
      <c r="I454" s="306" t="s">
        <v>334</v>
      </c>
      <c r="J454" s="277" t="s">
        <v>281</v>
      </c>
      <c r="K454" s="289" t="s">
        <v>228</v>
      </c>
      <c r="L454" s="289" t="s">
        <v>228</v>
      </c>
      <c r="M454" s="289" t="s">
        <v>228</v>
      </c>
      <c r="N454" s="289" t="s">
        <v>228</v>
      </c>
      <c r="O454" s="10"/>
      <c r="P454" s="10"/>
    </row>
    <row r="455" spans="1:16">
      <c r="A455">
        <f>ROW()-ROW($A$1)</f>
        <v>454</v>
      </c>
      <c r="B455" t="s">
        <v>1539</v>
      </c>
      <c r="C455" s="3"/>
      <c r="E455" s="2">
        <f ca="1">VLOOKUP( Aop!$A455, Aop!$A$2:$P$456, ID_Jezik +10, 1)</f>
        <v>0</v>
      </c>
      <c r="F455" t="str">
        <f ca="1">REPT( "  ", Aop!$C455) &amp; VLOOKUP( Aop!$A455, Aop!$A$2:$P$456, ID_Jezik + 6, 1)</f>
        <v/>
      </c>
      <c r="H455" s="283"/>
      <c r="I455" s="283"/>
      <c r="J455" s="280"/>
      <c r="K455" s="289"/>
      <c r="L455" s="289"/>
      <c r="M455" s="289"/>
      <c r="N455" s="289"/>
      <c r="O455" s="10"/>
      <c r="P455" s="10"/>
    </row>
    <row r="456" spans="1:16">
      <c r="A456">
        <f t="shared" si="13"/>
        <v>455</v>
      </c>
      <c r="B456" t="s">
        <v>1539</v>
      </c>
      <c r="C456" s="3">
        <v>0</v>
      </c>
      <c r="D456">
        <v>925</v>
      </c>
      <c r="E456" s="2" t="str">
        <f ca="1">VLOOKUP( Aop!$A456, Aop!$A$2:$P$456, ID_Jezik +10, 1)</f>
        <v>25</v>
      </c>
      <c r="F456" t="str">
        <f ca="1">REPT( "  ", Aop!$C456) &amp; VLOOKUP( Aop!$A456, Aop!$A$2:$P$456, ID_Jezik + 6, 1)</f>
        <v>25. Stanje na dan 30.06.2022. godine (916 ± 919 ± 920  - 921 - 922± 923 ± 924)</v>
      </c>
      <c r="G456" s="304" t="str">
        <f ca="1">CONCATENATE("25. Stanje na dan ",Datum_Format," godine (916 ± 919 ± 920  - 921 - 922± 923 ± 924)")</f>
        <v>25. Stanje na dan 30.06.2022. godine (916 ± 919 ± 920  - 921 - 922± 923 ± 924)</v>
      </c>
      <c r="H456" s="304" t="str">
        <f ca="1">CONCATENATE("25. Стање на дан ",Datum_Format," године (916 ± 919 ± 920  - 921 - 922± 923 ± 924)")</f>
        <v>25. Стање на дан 30.06.2022. године (916 ± 919 ± 920  - 921 - 922± 923 ± 924)</v>
      </c>
      <c r="I456" s="304" t="str">
        <f ca="1">CONCATENATE("25. Value on day ",  Podesavanja!$Y$3,"(916 ± 919 ± 920  - 921 - 922± 923 ± 924)")</f>
        <v>25. Value on day 30.06.2022(916 ± 919 ± 920  - 921 - 922± 923 ± 924)</v>
      </c>
      <c r="J456" s="304" t="str">
        <f ca="1">CONCATENATE("25. Состояние на дату ",  ,Datum_Format," года (916 ± 919 ± 920  - 921 - 922± 923 ± 924)")</f>
        <v>25. Состояние на дату 30.06.2022. года (916 ± 919 ± 920  - 921 - 922± 923 ± 924)</v>
      </c>
      <c r="K456" s="289" t="s">
        <v>229</v>
      </c>
      <c r="L456" s="289" t="s">
        <v>229</v>
      </c>
      <c r="M456" s="289" t="s">
        <v>229</v>
      </c>
      <c r="N456" s="289" t="s">
        <v>229</v>
      </c>
      <c r="O456" s="10">
        <v>1</v>
      </c>
      <c r="P456" s="10"/>
    </row>
  </sheetData>
  <sheetProtection sheet="1" objects="1" scenarios="1"/>
  <phoneticPr fontId="25" type="noConversion"/>
  <conditionalFormatting sqref="B363:G403 H401 I389:I403 E139:F139 B134:C138 A141:G240 F241 G242:G245 B242:C250 D241:D250 O250:P251 K250:K251 H253:H263 K254 K256 K258 K260 B251:D278 B282:D286 G281:P284 C281:D281 B315:C315 B344 B346 B350 B352 B287:C313 D287:D352 B317:C317 B319 B325 B329 B331 B337 B321:C321 C318:C319 B323:C323 B327:C327 B333:C333 C324:C325 C329:C331 B335:C335 B339:C339 C336:C337 B341:C341 C342 B348:C348 C344:C346 C350:C352 L285:L352 G312:G313 I312:K313 H312:H352 G285:K311 A140:F140 I2:J68 C371:C421 A353:A421 A426:A427 A430:A431 A434:A437 A446:A447 A451:A453 C451:H453 C446:H447 C434:H437 C430:H431 K69:P69 O70:P133 L2:P15 M16:P18 I140:J213 M285:P313 J242:J245 H214:H251 J214:J240 J263:P263 C426:I427 A2:C133 E2:F133 L19:P54 M68:P68 M67 L55:M66 O55:P67 A135 A137 A139 I363:I387 K430:P431 K434:P437 K446:P447 K451:P453 K426:P427 G264:P278 B353:J362 J401 K353:P421 B404:J421 O242:P245 O139:P240">
    <cfRule type="expression" dxfId="202" priority="35" stopIfTrue="1">
      <formula>$B2&lt;&gt;$B3</formula>
    </cfRule>
  </conditionalFormatting>
  <conditionalFormatting sqref="H365:H387">
    <cfRule type="expression" dxfId="201" priority="101" stopIfTrue="1">
      <formula>$B363&lt;&gt;$B364</formula>
    </cfRule>
  </conditionalFormatting>
  <conditionalFormatting sqref="H402">
    <cfRule type="expression" dxfId="200" priority="103" stopIfTrue="1">
      <formula>$B402&lt;&gt;$B403</formula>
    </cfRule>
  </conditionalFormatting>
  <conditionalFormatting sqref="H389:H400">
    <cfRule type="expression" dxfId="199" priority="105" stopIfTrue="1">
      <formula>$B386&lt;&gt;$B387</formula>
    </cfRule>
  </conditionalFormatting>
  <conditionalFormatting sqref="O262:P262 B279:D279 G279:P280 C280:D280 B280:B281 A442 E441:E444 A424:M424 A428:A429 A432:A433 A438 A440 A444:A445 A450 F442:H442 C450:H450 A425 C444:D444 C442:D442 B423 O138:P138 C454:H454 C445:I445 F444:J444 C433:I433 C428:M428 C429:I429 K429:M429 C425:I425 K425:M425 K442:P442 K450:P450 K444:P445 C440:P440 K432:P433 N428:P429 N424:P425 A422:P422 C432:J432 C438:P438 A454 B425:B454 K454:P454">
    <cfRule type="expression" dxfId="198" priority="110" stopIfTrue="1">
      <formula>$B138&lt;&gt;$B140</formula>
    </cfRule>
  </conditionalFormatting>
  <conditionalFormatting sqref="A423 A441 A443 A439 A448:A449 F443:H443 C443:D443 C441:D441 C423:I423 C448:F448 O137:P137 C449:I449 F441:I441 K423:P423 C439:P439 K443:P443 K448:P449 K441:P441">
    <cfRule type="expression" dxfId="197" priority="111" stopIfTrue="1">
      <formula>$B137&lt;&gt;$B140</formula>
    </cfRule>
  </conditionalFormatting>
  <conditionalFormatting sqref="I134:J135">
    <cfRule type="expression" dxfId="196" priority="113" stopIfTrue="1">
      <formula>$B135&lt;&gt;$B140</formula>
    </cfRule>
  </conditionalFormatting>
  <conditionalFormatting sqref="O259:P259">
    <cfRule type="expression" dxfId="195" priority="115" stopIfTrue="1">
      <formula>$B259&lt;&gt;$B265</formula>
    </cfRule>
  </conditionalFormatting>
  <conditionalFormatting sqref="D78:D132 I138:J138 I69:J132 I241:I244 I213:I239 N55:N65 D137 K70:N139">
    <cfRule type="expression" dxfId="194" priority="120" stopIfTrue="1">
      <formula>$B56&lt;&gt;$B57</formula>
    </cfRule>
  </conditionalFormatting>
  <conditionalFormatting sqref="I137:J137 D134:D136">
    <cfRule type="expression" dxfId="193" priority="124" stopIfTrue="1">
      <formula>$B135&lt;&gt;$B137</formula>
    </cfRule>
  </conditionalFormatting>
  <conditionalFormatting sqref="I136:J136">
    <cfRule type="expression" dxfId="192" priority="126" stopIfTrue="1">
      <formula>$B137&lt;&gt;$B140</formula>
    </cfRule>
  </conditionalFormatting>
  <conditionalFormatting sqref="I245:I246">
    <cfRule type="expression" dxfId="191" priority="128" stopIfTrue="1">
      <formula>$B246&lt;&gt;$B250</formula>
    </cfRule>
  </conditionalFormatting>
  <conditionalFormatting sqref="A134 E134:F134 O134:P134 A136 A138">
    <cfRule type="expression" dxfId="190" priority="141" stopIfTrue="1">
      <formula>$B134&lt;&gt;#REF!</formula>
    </cfRule>
  </conditionalFormatting>
  <conditionalFormatting sqref="O260:P260 O135:P136">
    <cfRule type="expression" dxfId="189" priority="142" stopIfTrue="1">
      <formula>$B135&lt;&gt;$B140</formula>
    </cfRule>
  </conditionalFormatting>
  <conditionalFormatting sqref="B139:C139">
    <cfRule type="expression" dxfId="188" priority="147" stopIfTrue="1">
      <formula>$B139&lt;&gt;#REF!</formula>
    </cfRule>
  </conditionalFormatting>
  <conditionalFormatting sqref="I139:J139 D139">
    <cfRule type="expression" dxfId="187" priority="155" stopIfTrue="1">
      <formula>#REF!&lt;&gt;$B140</formula>
    </cfRule>
  </conditionalFormatting>
  <conditionalFormatting sqref="I133:J133 D133">
    <cfRule type="expression" dxfId="186" priority="160" stopIfTrue="1">
      <formula>$B134&lt;&gt;#REF!</formula>
    </cfRule>
  </conditionalFormatting>
  <conditionalFormatting sqref="G246:G248 K252 G260 G262:G263 G250:G258 K262 O261:P261 L250:N262 J246:P248 J250:J262">
    <cfRule type="expression" dxfId="185" priority="163" stopIfTrue="1">
      <formula>$B246&lt;&gt;$B250</formula>
    </cfRule>
  </conditionalFormatting>
  <conditionalFormatting sqref="O252:P254">
    <cfRule type="expression" dxfId="184" priority="261" stopIfTrue="1">
      <formula>$B252&lt;&gt;$B263</formula>
    </cfRule>
  </conditionalFormatting>
  <conditionalFormatting sqref="G249 K253 K261 K255 K257 K259 G259 G261 J249:P249">
    <cfRule type="expression" dxfId="183" priority="25" stopIfTrue="1">
      <formula>$B249&lt;&gt;$B263</formula>
    </cfRule>
  </conditionalFormatting>
  <conditionalFormatting sqref="F251:F252">
    <cfRule type="expression" dxfId="182" priority="363" stopIfTrue="1">
      <formula>#REF!&lt;&gt;$B243</formula>
    </cfRule>
  </conditionalFormatting>
  <conditionalFormatting sqref="F248">
    <cfRule type="expression" dxfId="181" priority="364" stopIfTrue="1">
      <formula>#REF!&lt;&gt;$B243</formula>
    </cfRule>
  </conditionalFormatting>
  <conditionalFormatting sqref="F249">
    <cfRule type="expression" dxfId="180" priority="365" stopIfTrue="1">
      <formula>#REF!&lt;&gt;$B243</formula>
    </cfRule>
  </conditionalFormatting>
  <conditionalFormatting sqref="F250">
    <cfRule type="expression" dxfId="179" priority="367" stopIfTrue="1">
      <formula>#REF!&lt;&gt;$B243</formula>
    </cfRule>
  </conditionalFormatting>
  <conditionalFormatting sqref="F247">
    <cfRule type="expression" dxfId="178" priority="373" stopIfTrue="1">
      <formula>#REF!&lt;&gt;$B243</formula>
    </cfRule>
  </conditionalFormatting>
  <conditionalFormatting sqref="F242:F246">
    <cfRule type="expression" dxfId="177" priority="390" stopIfTrue="1">
      <formula>#REF!&lt;&gt;$B243</formula>
    </cfRule>
  </conditionalFormatting>
  <conditionalFormatting sqref="F294:F311">
    <cfRule type="expression" dxfId="176" priority="889" stopIfTrue="1">
      <formula>#REF!&lt;&gt;$B244</formula>
    </cfRule>
  </conditionalFormatting>
  <conditionalFormatting sqref="F293">
    <cfRule type="expression" dxfId="175" priority="935" stopIfTrue="1">
      <formula>#REF!&lt;&gt;$B244</formula>
    </cfRule>
  </conditionalFormatting>
  <conditionalFormatting sqref="F292">
    <cfRule type="expression" dxfId="174" priority="979" stopIfTrue="1">
      <formula>#REF!&lt;&gt;$B244</formula>
    </cfRule>
  </conditionalFormatting>
  <conditionalFormatting sqref="F253:F257">
    <cfRule type="expression" dxfId="173" priority="1025" stopIfTrue="1">
      <formula>#REF!&lt;&gt;$B244</formula>
    </cfRule>
  </conditionalFormatting>
  <conditionalFormatting sqref="H252">
    <cfRule type="expression" dxfId="172" priority="1058" stopIfTrue="1">
      <formula>$B252&lt;&gt;$B253</formula>
    </cfRule>
  </conditionalFormatting>
  <conditionalFormatting sqref="F266:F273">
    <cfRule type="expression" dxfId="171" priority="1194" stopIfTrue="1">
      <formula>#REF!&lt;&gt;$B245</formula>
    </cfRule>
  </conditionalFormatting>
  <conditionalFormatting sqref="F262:F265">
    <cfRule type="expression" dxfId="170" priority="1240" stopIfTrue="1">
      <formula>#REF!&lt;&gt;$B245</formula>
    </cfRule>
  </conditionalFormatting>
  <conditionalFormatting sqref="F258:F261">
    <cfRule type="expression" dxfId="169" priority="1296" stopIfTrue="1">
      <formula>#REF!&lt;&gt;$B245</formula>
    </cfRule>
  </conditionalFormatting>
  <conditionalFormatting sqref="O257:P258">
    <cfRule type="expression" dxfId="168" priority="1546" stopIfTrue="1">
      <formula>$B257&lt;&gt;$B264</formula>
    </cfRule>
  </conditionalFormatting>
  <conditionalFormatting sqref="O255:P256">
    <cfRule type="expression" dxfId="167" priority="1547" stopIfTrue="1">
      <formula>$B255&lt;&gt;$B264</formula>
    </cfRule>
  </conditionalFormatting>
  <conditionalFormatting sqref="F290:F291">
    <cfRule type="expression" dxfId="166" priority="1577" stopIfTrue="1">
      <formula>#REF!&lt;&gt;$B247</formula>
    </cfRule>
  </conditionalFormatting>
  <conditionalFormatting sqref="F274:F280">
    <cfRule type="expression" dxfId="165" priority="1632" stopIfTrue="1">
      <formula>#REF!&lt;&gt;$B247</formula>
    </cfRule>
  </conditionalFormatting>
  <conditionalFormatting sqref="F287:F289">
    <cfRule type="expression" dxfId="164" priority="1743" stopIfTrue="1">
      <formula>#REF!&lt;&gt;$B250</formula>
    </cfRule>
  </conditionalFormatting>
  <conditionalFormatting sqref="F352">
    <cfRule type="expression" dxfId="163" priority="1948" stopIfTrue="1">
      <formula>#REF!&lt;&gt;$B245</formula>
    </cfRule>
  </conditionalFormatting>
  <conditionalFormatting sqref="F351">
    <cfRule type="expression" dxfId="162" priority="1978" stopIfTrue="1">
      <formula>#REF!&lt;&gt;$B245</formula>
    </cfRule>
  </conditionalFormatting>
  <conditionalFormatting sqref="F350">
    <cfRule type="expression" dxfId="161" priority="2012" stopIfTrue="1">
      <formula>#REF!&lt;&gt;$B245</formula>
    </cfRule>
  </conditionalFormatting>
  <conditionalFormatting sqref="F349">
    <cfRule type="expression" dxfId="160" priority="2038" stopIfTrue="1">
      <formula>#REF!&lt;&gt;$B245</formula>
    </cfRule>
  </conditionalFormatting>
  <conditionalFormatting sqref="F348">
    <cfRule type="expression" dxfId="159" priority="2068" stopIfTrue="1">
      <formula>#REF!&lt;&gt;$B245</formula>
    </cfRule>
  </conditionalFormatting>
  <conditionalFormatting sqref="F347">
    <cfRule type="expression" dxfId="158" priority="2102" stopIfTrue="1">
      <formula>#REF!&lt;&gt;$B245</formula>
    </cfRule>
  </conditionalFormatting>
  <conditionalFormatting sqref="F346">
    <cfRule type="expression" dxfId="157" priority="2128" stopIfTrue="1">
      <formula>#REF!&lt;&gt;$B245</formula>
    </cfRule>
  </conditionalFormatting>
  <conditionalFormatting sqref="F345">
    <cfRule type="expression" dxfId="156" priority="2158" stopIfTrue="1">
      <formula>#REF!&lt;&gt;$B245</formula>
    </cfRule>
  </conditionalFormatting>
  <conditionalFormatting sqref="F344">
    <cfRule type="expression" dxfId="155" priority="2188" stopIfTrue="1">
      <formula>#REF!&lt;&gt;$B245</formula>
    </cfRule>
  </conditionalFormatting>
  <conditionalFormatting sqref="F343">
    <cfRule type="expression" dxfId="154" priority="2218" stopIfTrue="1">
      <formula>#REF!&lt;&gt;$B245</formula>
    </cfRule>
  </conditionalFormatting>
  <conditionalFormatting sqref="F342">
    <cfRule type="expression" dxfId="153" priority="2248" stopIfTrue="1">
      <formula>#REF!&lt;&gt;$B245</formula>
    </cfRule>
  </conditionalFormatting>
  <conditionalFormatting sqref="F312:F337">
    <cfRule type="expression" dxfId="152" priority="2278" stopIfTrue="1">
      <formula>#REF!&lt;&gt;$B245</formula>
    </cfRule>
  </conditionalFormatting>
  <conditionalFormatting sqref="G350 I350:K350 M350:P350">
    <cfRule type="expression" dxfId="151" priority="2321" stopIfTrue="1">
      <formula>$B350&lt;&gt;$B296</formula>
    </cfRule>
  </conditionalFormatting>
  <conditionalFormatting sqref="G347 I347:K347 M347:P347">
    <cfRule type="expression" dxfId="150" priority="2323" stopIfTrue="1">
      <formula>$B347&lt;&gt;$B296</formula>
    </cfRule>
  </conditionalFormatting>
  <conditionalFormatting sqref="G352 I352:K352 M352:P352">
    <cfRule type="expression" dxfId="149" priority="2334" stopIfTrue="1">
      <formula>$B352&lt;&gt;$B296</formula>
    </cfRule>
  </conditionalFormatting>
  <conditionalFormatting sqref="G351 I351:K351 M351:P351">
    <cfRule type="expression" dxfId="148" priority="2342" stopIfTrue="1">
      <formula>$B351&lt;&gt;$B296</formula>
    </cfRule>
  </conditionalFormatting>
  <conditionalFormatting sqref="G349 I349:K349 M349:P349">
    <cfRule type="expression" dxfId="147" priority="2344" stopIfTrue="1">
      <formula>$B349&lt;&gt;$B296</formula>
    </cfRule>
  </conditionalFormatting>
  <conditionalFormatting sqref="G348 I348:K348 M348:P348">
    <cfRule type="expression" dxfId="146" priority="2346" stopIfTrue="1">
      <formula>$B348&lt;&gt;$B296</formula>
    </cfRule>
  </conditionalFormatting>
  <conditionalFormatting sqref="G346 I346:K346 M346:P346">
    <cfRule type="expression" dxfId="145" priority="2348" stopIfTrue="1">
      <formula>$B346&lt;&gt;$B296</formula>
    </cfRule>
  </conditionalFormatting>
  <conditionalFormatting sqref="G345 I345:K345 M345:P345">
    <cfRule type="expression" dxfId="144" priority="2350" stopIfTrue="1">
      <formula>$B345&lt;&gt;$B296</formula>
    </cfRule>
  </conditionalFormatting>
  <conditionalFormatting sqref="G344 I344:K344 M344:P344">
    <cfRule type="expression" dxfId="143" priority="2352" stopIfTrue="1">
      <formula>$B344&lt;&gt;$B296</formula>
    </cfRule>
  </conditionalFormatting>
  <conditionalFormatting sqref="G343 I343:K343 M343:P343">
    <cfRule type="expression" dxfId="142" priority="2354" stopIfTrue="1">
      <formula>$B343&lt;&gt;$B296</formula>
    </cfRule>
  </conditionalFormatting>
  <conditionalFormatting sqref="G342 I342:K342 M342:P342">
    <cfRule type="expression" dxfId="141" priority="2356" stopIfTrue="1">
      <formula>$B342&lt;&gt;$B296</formula>
    </cfRule>
  </conditionalFormatting>
  <conditionalFormatting sqref="G315:G337 I315:K337 M315:P337">
    <cfRule type="expression" dxfId="140" priority="2358" stopIfTrue="1">
      <formula>$B315&lt;&gt;$B299</formula>
    </cfRule>
  </conditionalFormatting>
  <conditionalFormatting sqref="A274:A286 E274:E286">
    <cfRule type="expression" dxfId="139" priority="2415" stopIfTrue="1">
      <formula>#REF!&lt;&gt;#REF!</formula>
    </cfRule>
  </conditionalFormatting>
  <conditionalFormatting sqref="A312:A341 E312:E341">
    <cfRule type="expression" dxfId="138" priority="2419" stopIfTrue="1">
      <formula>#REF!&lt;&gt;#REF!</formula>
    </cfRule>
  </conditionalFormatting>
  <conditionalFormatting sqref="A294:A311 E294:E311">
    <cfRule type="expression" dxfId="137" priority="2423" stopIfTrue="1">
      <formula>#REF!&lt;&gt;#REF!</formula>
    </cfRule>
  </conditionalFormatting>
  <conditionalFormatting sqref="A250 E250">
    <cfRule type="expression" dxfId="136" priority="2432" stopIfTrue="1">
      <formula>#REF!&lt;&gt;#REF!</formula>
    </cfRule>
  </conditionalFormatting>
  <conditionalFormatting sqref="A249 E249">
    <cfRule type="expression" dxfId="135" priority="2434" stopIfTrue="1">
      <formula>#REF!&lt;&gt;#REF!</formula>
    </cfRule>
  </conditionalFormatting>
  <conditionalFormatting sqref="A248 E248">
    <cfRule type="expression" dxfId="134" priority="2436" stopIfTrue="1">
      <formula>#REF!&lt;&gt;#REF!</formula>
    </cfRule>
  </conditionalFormatting>
  <conditionalFormatting sqref="A247 E247">
    <cfRule type="expression" dxfId="133" priority="2438" stopIfTrue="1">
      <formula>#REF!&lt;&gt;#REF!</formula>
    </cfRule>
  </conditionalFormatting>
  <conditionalFormatting sqref="A242:A246 E242:E246">
    <cfRule type="expression" dxfId="132" priority="2440" stopIfTrue="1">
      <formula>#REF!&lt;&gt;#REF!</formula>
    </cfRule>
  </conditionalFormatting>
  <conditionalFormatting sqref="A293 E293">
    <cfRule type="expression" dxfId="131" priority="2444" stopIfTrue="1">
      <formula>#REF!&lt;&gt;#REF!</formula>
    </cfRule>
  </conditionalFormatting>
  <conditionalFormatting sqref="A292 E292">
    <cfRule type="expression" dxfId="130" priority="2446" stopIfTrue="1">
      <formula>#REF!&lt;&gt;#REF!</formula>
    </cfRule>
  </conditionalFormatting>
  <conditionalFormatting sqref="A290:A291 E290:E291">
    <cfRule type="expression" dxfId="129" priority="2448" stopIfTrue="1">
      <formula>#REF!&lt;&gt;#REF!</formula>
    </cfRule>
  </conditionalFormatting>
  <conditionalFormatting sqref="A251:A252 E251:E252">
    <cfRule type="expression" dxfId="128" priority="2450" stopIfTrue="1">
      <formula>#REF!&lt;&gt;#REF!</formula>
    </cfRule>
  </conditionalFormatting>
  <conditionalFormatting sqref="A262:A265 E262 E264:E265">
    <cfRule type="expression" dxfId="127" priority="2452" stopIfTrue="1">
      <formula>#REF!&lt;&gt;#REF!</formula>
    </cfRule>
  </conditionalFormatting>
  <conditionalFormatting sqref="A258:A261 E258:E261">
    <cfRule type="expression" dxfId="126" priority="2454" stopIfTrue="1">
      <formula>#REF!&lt;&gt;#REF!</formula>
    </cfRule>
  </conditionalFormatting>
  <conditionalFormatting sqref="A253:A257 E253:E257">
    <cfRule type="expression" dxfId="125" priority="2456" stopIfTrue="1">
      <formula>#REF!&lt;&gt;#REF!</formula>
    </cfRule>
  </conditionalFormatting>
  <conditionalFormatting sqref="A287:A289 E287:E289">
    <cfRule type="expression" dxfId="124" priority="2458" stopIfTrue="1">
      <formula>#REF!&lt;&gt;#REF!</formula>
    </cfRule>
  </conditionalFormatting>
  <conditionalFormatting sqref="A266:A273 E266:E273">
    <cfRule type="expression" dxfId="123" priority="2460" stopIfTrue="1">
      <formula>#REF!&lt;&gt;#REF!</formula>
    </cfRule>
  </conditionalFormatting>
  <conditionalFormatting sqref="A352 E352">
    <cfRule type="expression" dxfId="122" priority="2474" stopIfTrue="1">
      <formula>#REF!&lt;&gt;#REF!</formula>
    </cfRule>
  </conditionalFormatting>
  <conditionalFormatting sqref="A351 E351">
    <cfRule type="expression" dxfId="121" priority="2476" stopIfTrue="1">
      <formula>#REF!&lt;&gt;#REF!</formula>
    </cfRule>
  </conditionalFormatting>
  <conditionalFormatting sqref="A350 E350">
    <cfRule type="expression" dxfId="120" priority="2478" stopIfTrue="1">
      <formula>#REF!&lt;&gt;#REF!</formula>
    </cfRule>
  </conditionalFormatting>
  <conditionalFormatting sqref="A349 E349">
    <cfRule type="expression" dxfId="119" priority="2480" stopIfTrue="1">
      <formula>#REF!&lt;&gt;#REF!</formula>
    </cfRule>
  </conditionalFormatting>
  <conditionalFormatting sqref="A348 E348">
    <cfRule type="expression" dxfId="118" priority="2482" stopIfTrue="1">
      <formula>#REF!&lt;&gt;#REF!</formula>
    </cfRule>
  </conditionalFormatting>
  <conditionalFormatting sqref="A347 E347">
    <cfRule type="expression" dxfId="117" priority="2484" stopIfTrue="1">
      <formula>#REF!&lt;&gt;#REF!</formula>
    </cfRule>
  </conditionalFormatting>
  <conditionalFormatting sqref="A346 E346">
    <cfRule type="expression" dxfId="116" priority="2486" stopIfTrue="1">
      <formula>#REF!&lt;&gt;#REF!</formula>
    </cfRule>
  </conditionalFormatting>
  <conditionalFormatting sqref="A345 E345">
    <cfRule type="expression" dxfId="115" priority="2488" stopIfTrue="1">
      <formula>#REF!&lt;&gt;#REF!</formula>
    </cfRule>
  </conditionalFormatting>
  <conditionalFormatting sqref="A344 E344">
    <cfRule type="expression" dxfId="114" priority="2490" stopIfTrue="1">
      <formula>#REF!&lt;&gt;#REF!</formula>
    </cfRule>
  </conditionalFormatting>
  <conditionalFormatting sqref="A343 E343">
    <cfRule type="expression" dxfId="113" priority="2492" stopIfTrue="1">
      <formula>#REF!&lt;&gt;#REF!</formula>
    </cfRule>
  </conditionalFormatting>
  <conditionalFormatting sqref="A342 E342">
    <cfRule type="expression" dxfId="112" priority="2494" stopIfTrue="1">
      <formula>#REF!&lt;&gt;#REF!</formula>
    </cfRule>
  </conditionalFormatting>
  <conditionalFormatting sqref="G241 A241:C241 E241 J241 O241:P241">
    <cfRule type="expression" dxfId="111" priority="2500" stopIfTrue="1">
      <formula>$B241&lt;&gt;#REF!</formula>
    </cfRule>
  </conditionalFormatting>
  <conditionalFormatting sqref="B314:C314 G314 B345 B351 B316:C316 B318 B324 B330 B336 B342:B343 B320:C320 B322:C322 B326:C326 B332:C332 B328:C328 B334:C334 B338:C338 B340:C340 B347:C347 C343 B349:C349 I314:K314 M314:P314">
    <cfRule type="expression" dxfId="110" priority="2501" stopIfTrue="1">
      <formula>$B314&lt;&gt;#REF!</formula>
    </cfRule>
  </conditionalFormatting>
  <conditionalFormatting sqref="F281:F286">
    <cfRule type="expression" dxfId="109" priority="2509" stopIfTrue="1">
      <formula>#REF!&lt;&gt;$B253</formula>
    </cfRule>
  </conditionalFormatting>
  <conditionalFormatting sqref="E263">
    <cfRule type="expression" dxfId="108" priority="20" stopIfTrue="1">
      <formula>$B263&lt;&gt;$B264</formula>
    </cfRule>
  </conditionalFormatting>
  <conditionalFormatting sqref="F338:F341">
    <cfRule type="expression" dxfId="107" priority="2514" stopIfTrue="1">
      <formula>#REF!&lt;&gt;$B258</formula>
    </cfRule>
  </conditionalFormatting>
  <conditionalFormatting sqref="G338:G341 I338:K341 M338:P341">
    <cfRule type="expression" dxfId="106" priority="2516" stopIfTrue="1">
      <formula>$B338&lt;&gt;$B309</formula>
    </cfRule>
  </conditionalFormatting>
  <conditionalFormatting sqref="G448:J448">
    <cfRule type="expression" dxfId="105" priority="19" stopIfTrue="1">
      <formula>$B448&lt;&gt;$B450</formula>
    </cfRule>
  </conditionalFormatting>
  <conditionalFormatting sqref="I440:J440">
    <cfRule type="expression" dxfId="104" priority="2581" stopIfTrue="1">
      <formula>$B438&lt;&gt;$B440</formula>
    </cfRule>
  </conditionalFormatting>
  <conditionalFormatting sqref="I247">
    <cfRule type="expression" dxfId="103" priority="2592" stopIfTrue="1">
      <formula>$B249&lt;&gt;$B263</formula>
    </cfRule>
  </conditionalFormatting>
  <conditionalFormatting sqref="I240">
    <cfRule type="expression" dxfId="102" priority="2594" stopIfTrue="1">
      <formula>$B241&lt;&gt;#REF!</formula>
    </cfRule>
  </conditionalFormatting>
  <conditionalFormatting sqref="J450 J442">
    <cfRule type="expression" dxfId="101" priority="2596" stopIfTrue="1">
      <formula>$B441&lt;&gt;$B444</formula>
    </cfRule>
  </conditionalFormatting>
  <conditionalFormatting sqref="J445:J446 J434 J430 J426">
    <cfRule type="expression" dxfId="100" priority="2598" stopIfTrue="1">
      <formula>$B425&lt;&gt;$B427</formula>
    </cfRule>
  </conditionalFormatting>
  <conditionalFormatting sqref="J424">
    <cfRule type="expression" dxfId="99" priority="17" stopIfTrue="1">
      <formula>$B423&lt;&gt;$B425</formula>
    </cfRule>
  </conditionalFormatting>
  <conditionalFormatting sqref="J428">
    <cfRule type="expression" dxfId="98" priority="16" stopIfTrue="1">
      <formula>$B427&lt;&gt;$B429</formula>
    </cfRule>
  </conditionalFormatting>
  <conditionalFormatting sqref="J427">
    <cfRule type="expression" dxfId="97" priority="2600" stopIfTrue="1">
      <formula>$B426&lt;&gt;$B427</formula>
    </cfRule>
  </conditionalFormatting>
  <conditionalFormatting sqref="D2:D77">
    <cfRule type="expression" dxfId="96" priority="15">
      <formula>$B3&lt;&gt;$B2</formula>
    </cfRule>
  </conditionalFormatting>
  <conditionalFormatting sqref="J365:J387">
    <cfRule type="expression" dxfId="95" priority="14" stopIfTrue="1">
      <formula>$B363&lt;&gt;$B364</formula>
    </cfRule>
  </conditionalFormatting>
  <conditionalFormatting sqref="J402">
    <cfRule type="expression" dxfId="94" priority="12" stopIfTrue="1">
      <formula>$B402&lt;&gt;$B403</formula>
    </cfRule>
  </conditionalFormatting>
  <conditionalFormatting sqref="J389:J400">
    <cfRule type="expression" dxfId="93" priority="13" stopIfTrue="1">
      <formula>$B386&lt;&gt;$B387</formula>
    </cfRule>
  </conditionalFormatting>
  <conditionalFormatting sqref="N66">
    <cfRule type="expression" dxfId="92" priority="11" stopIfTrue="1">
      <formula>$B66&lt;&gt;$B67</formula>
    </cfRule>
  </conditionalFormatting>
  <conditionalFormatting sqref="I248:I260">
    <cfRule type="expression" dxfId="91" priority="2602" stopIfTrue="1">
      <formula>$B250&lt;&gt;$B254</formula>
    </cfRule>
  </conditionalFormatting>
  <conditionalFormatting sqref="I261">
    <cfRule type="expression" dxfId="90" priority="2603" stopIfTrue="1">
      <formula>$B263&lt;&gt;$B264</formula>
    </cfRule>
  </conditionalFormatting>
  <conditionalFormatting sqref="A456:P456">
    <cfRule type="expression" dxfId="89" priority="2604" stopIfTrue="1">
      <formula>$B456&lt;&gt;#REF!</formula>
    </cfRule>
  </conditionalFormatting>
  <conditionalFormatting sqref="A455:P455">
    <cfRule type="expression" dxfId="88" priority="2606" stopIfTrue="1">
      <formula>$B455&lt;&gt;#REF!</formula>
    </cfRule>
  </conditionalFormatting>
  <conditionalFormatting sqref="E136:F136">
    <cfRule type="expression" dxfId="87" priority="10" stopIfTrue="1">
      <formula>$B136&lt;&gt;$B137</formula>
    </cfRule>
  </conditionalFormatting>
  <conditionalFormatting sqref="E135:F135">
    <cfRule type="expression" dxfId="86" priority="9" stopIfTrue="1">
      <formula>$B135&lt;&gt;#REF!</formula>
    </cfRule>
  </conditionalFormatting>
  <conditionalFormatting sqref="E137:F138">
    <cfRule type="expression" dxfId="85" priority="7" stopIfTrue="1">
      <formula>$B137&lt;&gt;$B138</formula>
    </cfRule>
  </conditionalFormatting>
  <conditionalFormatting sqref="K140:N245">
    <cfRule type="expression" dxfId="84" priority="4" stopIfTrue="1">
      <formula>$B141&lt;&gt;$B142</formula>
    </cfRule>
  </conditionalFormatting>
  <conditionalFormatting sqref="D138">
    <cfRule type="expression" dxfId="83" priority="1" stopIfTrue="1">
      <formula>$B138&lt;&gt;$B139</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sheetPr codeName="Sheet11">
    <tabColor theme="1"/>
  </sheetPr>
  <dimension ref="B1:AD28"/>
  <sheetViews>
    <sheetView showGridLines="0" showRowColHeaders="0" zoomScaleNormal="100" workbookViewId="0">
      <selection activeCell="F23" sqref="F23"/>
    </sheetView>
  </sheetViews>
  <sheetFormatPr defaultRowHeight="12.75"/>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c r="B1" s="59">
        <v>1</v>
      </c>
      <c r="C1" t="str">
        <f ca="1">VLOOKUP(ID_Jezik, $B$3:$C$6, 2, 1)</f>
        <v>Srpski - latinica</v>
      </c>
      <c r="E1" s="150">
        <v>1</v>
      </c>
      <c r="F1" t="str">
        <f>VLOOKUP(E1, $E$3:$F$6, 2, 1)</f>
        <v/>
      </c>
      <c r="H1" s="5">
        <f ca="1">DATE( Godina, Period_Kraj_Mjesec, Period_Kraj_Dan)</f>
        <v>44742</v>
      </c>
      <c r="I1" s="120">
        <f ca="1">VLOOKUP(Datum_Broj, $H$3:$L$6, 2, 0)</f>
        <v>2</v>
      </c>
      <c r="J1">
        <f ca="1">VLOOKUP(ID_Izvjestaj,$I$3:$L$6,3,1)</f>
        <v>6</v>
      </c>
      <c r="U1">
        <f ca="1">Period_Kraj_Godina</f>
        <v>2022</v>
      </c>
      <c r="V1">
        <f ca="1">Period_Kraj_Mjesec</f>
        <v>6</v>
      </c>
      <c r="W1">
        <f ca="1">Period_Kraj_Dan</f>
        <v>30</v>
      </c>
      <c r="X1" s="6" t="str">
        <f ca="1">TEXT( DATE( Godina, Period_Kraj_Mjesec, Period_Kraj_Dan), "dd.mm.yyyy.")</f>
        <v>30.06.2022.</v>
      </c>
      <c r="Y1" s="6" t="str">
        <f ca="1">TEXT( DATE( Godina, Period_Kraj_Mjesec, Period_Kraj_Dan), "dd.mm.yyyy")</f>
        <v>30.06.2022</v>
      </c>
    </row>
    <row r="2" spans="2:30" ht="15">
      <c r="B2" t="s">
        <v>2306</v>
      </c>
      <c r="C2" t="s">
        <v>1524</v>
      </c>
      <c r="E2" s="9" t="s">
        <v>1765</v>
      </c>
      <c r="F2" s="78" t="s">
        <v>1766</v>
      </c>
      <c r="H2" t="s">
        <v>2298</v>
      </c>
      <c r="I2" t="s">
        <v>2305</v>
      </c>
      <c r="J2" t="s">
        <v>2296</v>
      </c>
      <c r="K2" t="s">
        <v>2303</v>
      </c>
      <c r="L2" t="s">
        <v>2304</v>
      </c>
      <c r="N2" t="s">
        <v>2371</v>
      </c>
      <c r="O2" t="s">
        <v>2378</v>
      </c>
      <c r="P2" t="s">
        <v>2379</v>
      </c>
      <c r="Q2" t="s">
        <v>2898</v>
      </c>
      <c r="S2" t="s">
        <v>1770</v>
      </c>
      <c r="T2" t="s">
        <v>2299</v>
      </c>
      <c r="U2" t="s">
        <v>2303</v>
      </c>
      <c r="V2" t="s">
        <v>2304</v>
      </c>
      <c r="W2" t="s">
        <v>2454</v>
      </c>
      <c r="X2" t="s">
        <v>1781</v>
      </c>
      <c r="Y2" t="s">
        <v>1782</v>
      </c>
      <c r="AA2" t="s">
        <v>2901</v>
      </c>
      <c r="AB2" s="228" t="s">
        <v>2371</v>
      </c>
      <c r="AC2" s="228" t="s">
        <v>2899</v>
      </c>
      <c r="AD2" s="228" t="s">
        <v>2900</v>
      </c>
    </row>
    <row r="3" spans="2:30">
      <c r="B3">
        <v>1</v>
      </c>
      <c r="C3" t="s">
        <v>1525</v>
      </c>
      <c r="E3" s="9">
        <v>1</v>
      </c>
      <c r="F3" s="115" t="str">
        <f ca="1">IF( Revidiran_izvjestaj, Revizija_Pozitivno, "")</f>
        <v/>
      </c>
      <c r="H3" s="5">
        <f ca="1">DATE(Godina, K3, L3)</f>
        <v>44651</v>
      </c>
      <c r="I3">
        <v>1</v>
      </c>
      <c r="J3" t="str">
        <f ca="1">Vrsta_izvjestaja_Prvi_kvartal</f>
        <v>Prvi kvartal</v>
      </c>
      <c r="K3" s="3">
        <v>3</v>
      </c>
      <c r="L3" s="3">
        <v>31</v>
      </c>
      <c r="N3" t="s">
        <v>2897</v>
      </c>
      <c r="O3">
        <f t="array" aca="1" ref="O3" ca="1">MIN(IF(Aop!$B$2:$B$456=Podesavanja!$N3,Aop!$A$2:$A$456))</f>
        <v>1</v>
      </c>
      <c r="P3">
        <f t="array" aca="1" ref="P3" ca="1">MAX(IF(Aop!$B$2:$B$456=Podesavanja!$N3,Aop!$A$2:$A$456))</f>
        <v>67</v>
      </c>
      <c r="Q3">
        <v>1</v>
      </c>
      <c r="S3" t="s">
        <v>1767</v>
      </c>
      <c r="T3">
        <v>0</v>
      </c>
      <c r="U3">
        <f ca="1">Period_Kraj_Mjesec</f>
        <v>6</v>
      </c>
      <c r="V3">
        <f ca="1">Period_Kraj_Dan</f>
        <v>30</v>
      </c>
      <c r="W3" s="114">
        <f ca="1">DATE( Godina + T3, U3, V3)</f>
        <v>44742</v>
      </c>
      <c r="X3" t="str">
        <f ca="1">TEXT(W3, "dd.mm.yyyy.")</f>
        <v>30.06.2022.</v>
      </c>
      <c r="Y3" t="str">
        <f ca="1">TEXT(W3, "dd.mm.yyyy")</f>
        <v>30.06.2022</v>
      </c>
      <c r="AA3" t="str">
        <f ca="1">CONCATENATE(Podesavanja!$AB3,Podesavanja!$AC3)</f>
        <v>BSaKolona1</v>
      </c>
      <c r="AB3" t="s">
        <v>2897</v>
      </c>
      <c r="AC3" t="s">
        <v>2888</v>
      </c>
      <c r="AD3">
        <v>3</v>
      </c>
    </row>
    <row r="4" spans="2:30">
      <c r="B4">
        <v>2</v>
      </c>
      <c r="C4" t="s">
        <v>1526</v>
      </c>
      <c r="E4" s="9">
        <v>2</v>
      </c>
      <c r="F4" s="115" t="str">
        <f ca="1">IF( Revidiran_izvjestaj, Revizija_Sa_rezervom, "")</f>
        <v/>
      </c>
      <c r="H4" s="5">
        <f ca="1">DATE(Godina, K4, L4)</f>
        <v>44742</v>
      </c>
      <c r="I4">
        <v>2</v>
      </c>
      <c r="J4" t="str">
        <f ca="1">Vrsta_izvjestaja_Polugodisnji</f>
        <v>Polugodišnji</v>
      </c>
      <c r="K4" s="3">
        <v>6</v>
      </c>
      <c r="L4" s="3">
        <v>30</v>
      </c>
      <c r="N4" t="s">
        <v>2896</v>
      </c>
      <c r="O4">
        <f t="array" aca="1" ref="O4" ca="1">MIN(IF(Aop!$B$2:$B$456=Podesavanja!$N4,Aop!$A$2:$A$456))</f>
        <v>68</v>
      </c>
      <c r="P4">
        <f t="array" aca="1" ref="P4" ca="1">MAX(IF(Aop!$B$2:$B$456=Podesavanja!$N4,Aop!$A$2:$A$456))</f>
        <v>138</v>
      </c>
      <c r="Q4">
        <v>2</v>
      </c>
      <c r="S4" t="s">
        <v>2424</v>
      </c>
      <c r="T4">
        <v>0</v>
      </c>
      <c r="U4">
        <v>1</v>
      </c>
      <c r="V4">
        <v>1</v>
      </c>
      <c r="W4" s="114">
        <f ca="1">DATE( Godina + T4, U4, V4)</f>
        <v>44562</v>
      </c>
      <c r="X4" t="str">
        <f ca="1">TEXT(W4, "dd.mm.yyyy.")</f>
        <v>01.01.2022.</v>
      </c>
      <c r="Y4" t="str">
        <f ca="1">TEXT(W4, "dd.mm.yyyy")</f>
        <v>01.01.2022</v>
      </c>
      <c r="AA4" t="str">
        <f ca="1">CONCATENATE(Podesavanja!$AB4,Podesavanja!$AC4)</f>
        <v>BSaKolona2</v>
      </c>
      <c r="AB4" t="s">
        <v>2897</v>
      </c>
      <c r="AC4" t="s">
        <v>2889</v>
      </c>
      <c r="AD4">
        <v>4</v>
      </c>
    </row>
    <row r="5" spans="2:30">
      <c r="B5">
        <v>3</v>
      </c>
      <c r="C5" t="s">
        <v>1510</v>
      </c>
      <c r="E5" s="9">
        <v>3</v>
      </c>
      <c r="F5" s="115" t="str">
        <f ca="1">IF( Revidiran_izvjestaj, Revizija_Negativno, "")</f>
        <v/>
      </c>
      <c r="H5" s="5">
        <f ca="1">DATE(Godina, K5, L5)</f>
        <v>44834</v>
      </c>
      <c r="I5">
        <v>3</v>
      </c>
      <c r="J5" t="str">
        <f ca="1">Vrsta_izvjestaja_Treci_kvartal</f>
        <v>Treći kvartal</v>
      </c>
      <c r="K5" s="3">
        <v>9</v>
      </c>
      <c r="L5" s="3">
        <v>30</v>
      </c>
      <c r="N5" t="s">
        <v>2377</v>
      </c>
      <c r="O5">
        <f t="array" aca="1" ref="O5" ca="1">MIN(IF(Aop!$B$2:$B$456=Podesavanja!$N5,Aop!$A$2:$A$456))</f>
        <v>139</v>
      </c>
      <c r="P5">
        <f t="array" aca="1" ref="P5" ca="1">MAX(IF(Aop!$B$2:$B$456=Podesavanja!$N5,Aop!$A$2:$A$456))</f>
        <v>262</v>
      </c>
      <c r="Q5">
        <v>3</v>
      </c>
      <c r="S5" t="s">
        <v>1768</v>
      </c>
      <c r="T5">
        <v>-1</v>
      </c>
      <c r="U5">
        <v>12</v>
      </c>
      <c r="V5">
        <v>31</v>
      </c>
      <c r="W5" s="114">
        <f ca="1">DATE( Godina + T5, U5, V5)</f>
        <v>44561</v>
      </c>
      <c r="X5" t="str">
        <f ca="1">TEXT(W5, "dd.mm.yyyy.")</f>
        <v>31.12.2021.</v>
      </c>
      <c r="Y5" t="str">
        <f ca="1">TEXT(W5, "dd.mm.yyyy")</f>
        <v>31.12.2021</v>
      </c>
      <c r="AA5" t="str">
        <f ca="1">CONCATENATE(Podesavanja!$AB5,Podesavanja!$AC5)</f>
        <v>BSaKolona3</v>
      </c>
      <c r="AB5" t="s">
        <v>2897</v>
      </c>
      <c r="AC5" t="s">
        <v>2890</v>
      </c>
      <c r="AD5">
        <v>5</v>
      </c>
    </row>
    <row r="6" spans="2:30">
      <c r="B6">
        <v>4</v>
      </c>
      <c r="C6" t="s">
        <v>283</v>
      </c>
      <c r="E6" s="9">
        <v>4</v>
      </c>
      <c r="F6" s="115" t="str">
        <f ca="1">IF( Revidiran_izvjestaj, Revizija_Uzdrzavanje, "")</f>
        <v/>
      </c>
      <c r="H6" s="5">
        <f ca="1">DATE(Godina, K6, L6)</f>
        <v>44926</v>
      </c>
      <c r="I6">
        <v>4</v>
      </c>
      <c r="J6" t="str">
        <f ca="1">Vrsta_izvjestaja_Godisnji</f>
        <v>Godišnji</v>
      </c>
      <c r="K6" s="3">
        <v>12</v>
      </c>
      <c r="L6" s="3">
        <v>31</v>
      </c>
      <c r="M6" s="3"/>
      <c r="N6" t="s">
        <v>2386</v>
      </c>
      <c r="O6">
        <f t="array" aca="1" ref="O6" ca="1">MIN(IF(Aop!$B$2:$B$456=Podesavanja!$N6,Aop!$A$2:$A$456))</f>
        <v>263</v>
      </c>
      <c r="P6">
        <f t="array" aca="1" ref="P6" ca="1">MAX(IF(Aop!$B$2:$B$456=Podesavanja!$N6,Aop!$A$2:$A$456))</f>
        <v>283</v>
      </c>
      <c r="Q6">
        <v>3</v>
      </c>
      <c r="S6" t="s">
        <v>1769</v>
      </c>
      <c r="T6">
        <v>-1</v>
      </c>
      <c r="U6">
        <v>1</v>
      </c>
      <c r="V6">
        <v>1</v>
      </c>
      <c r="W6" s="114">
        <f ca="1">DATE( Godina + T6, U6, V6)</f>
        <v>44197</v>
      </c>
      <c r="X6" t="str">
        <f ca="1">TEXT(W6, "dd.mm.yyyy.")</f>
        <v>01.01.2021.</v>
      </c>
      <c r="Y6" t="str">
        <f ca="1">TEXT(W6, "dd.mm.yyyy")</f>
        <v>01.01.2021</v>
      </c>
      <c r="AA6" t="str">
        <f ca="1">CONCATENATE(Podesavanja!$AB6,Podesavanja!$AC6)</f>
        <v>BSaKolona4</v>
      </c>
      <c r="AB6" t="s">
        <v>2897</v>
      </c>
      <c r="AC6" t="s">
        <v>2891</v>
      </c>
      <c r="AD6">
        <v>6</v>
      </c>
    </row>
    <row r="7" spans="2:30">
      <c r="N7" t="s">
        <v>1537</v>
      </c>
      <c r="O7">
        <f t="array" aca="1" ref="O7" ca="1">MIN(IF(Aop!$B$2:$B$456=Podesavanja!$N7,Aop!$A$2:$A$456))</f>
        <v>284</v>
      </c>
      <c r="P7">
        <f t="array" aca="1" ref="P7" ca="1">MAX(IF(Aop!$B$2:$B$456=Podesavanja!$N7,Aop!$A$2:$A$456))</f>
        <v>351</v>
      </c>
      <c r="Q7">
        <v>5</v>
      </c>
      <c r="AA7" t="str">
        <f ca="1">CONCATENATE(Podesavanja!$AB7,Podesavanja!$AC7)</f>
        <v>BSpKolona1</v>
      </c>
      <c r="AB7" t="s">
        <v>2896</v>
      </c>
      <c r="AC7" t="s">
        <v>2888</v>
      </c>
      <c r="AD7" s="105">
        <v>5</v>
      </c>
    </row>
    <row r="8" spans="2:30">
      <c r="N8" t="s">
        <v>1538</v>
      </c>
      <c r="O8">
        <f t="array" aca="1" ref="O8" ca="1">MIN(IF(Aop!$B$2:$B$456=Podesavanja!$N8,Aop!$A$2:$A$456))</f>
        <v>352</v>
      </c>
      <c r="P8">
        <f t="array" aca="1" ref="P8" ca="1">MAX(IF(Aop!$B$2:$B$456=Podesavanja!$N8,Aop!$A$2:$A$456))</f>
        <v>421</v>
      </c>
      <c r="Q8">
        <v>4</v>
      </c>
      <c r="AA8" s="78" t="str">
        <f ca="1">CONCATENATE(Podesavanja!$AB8,Podesavanja!$AC8)</f>
        <v>BSpKolona2</v>
      </c>
      <c r="AB8" s="78" t="s">
        <v>2896</v>
      </c>
      <c r="AC8" s="78" t="s">
        <v>2889</v>
      </c>
      <c r="AD8" s="105">
        <v>6</v>
      </c>
    </row>
    <row r="9" spans="2:30">
      <c r="N9" t="s">
        <v>1539</v>
      </c>
      <c r="O9">
        <f t="array" aca="1" ref="O9" ca="1">MIN(IF(Aop!$B$2:$B$456=Podesavanja!$N9,Aop!$A$2:$A$456))</f>
        <v>422</v>
      </c>
      <c r="P9">
        <f t="array" aca="1" ref="P9" ca="1">MAX(IF(Aop!$B$2:$B$456=Podesavanja!$N9,Aop!$A$2:$A$456))</f>
        <v>455</v>
      </c>
      <c r="Q9">
        <v>6</v>
      </c>
      <c r="AA9" t="str">
        <f ca="1">CONCATENATE(Podesavanja!$AB9,Podesavanja!$AC9)</f>
        <v>BUaKolona1</v>
      </c>
      <c r="AB9" t="s">
        <v>2377</v>
      </c>
      <c r="AC9" t="s">
        <v>2888</v>
      </c>
      <c r="AD9" s="105">
        <v>3</v>
      </c>
    </row>
    <row r="10" spans="2:30">
      <c r="B10" t="s">
        <v>1692</v>
      </c>
      <c r="C10" t="b">
        <f ca="1">Osnovni_podaci!$Y$76</f>
        <v>0</v>
      </c>
      <c r="AA10" t="str">
        <f ca="1">CONCATENATE(Podesavanja!$AB10,Podesavanja!$AC10)</f>
        <v>BUaKolona2</v>
      </c>
      <c r="AB10" t="s">
        <v>2377</v>
      </c>
      <c r="AC10" t="s">
        <v>2889</v>
      </c>
      <c r="AD10" s="105">
        <v>4</v>
      </c>
    </row>
    <row r="11" spans="2:30">
      <c r="AA11" t="str">
        <f ca="1">CONCATENATE(Podesavanja!$AB11,Podesavanja!$AC11)</f>
        <v>BUbKolona1</v>
      </c>
      <c r="AB11" t="s">
        <v>2386</v>
      </c>
      <c r="AC11" t="s">
        <v>2888</v>
      </c>
      <c r="AD11">
        <v>3</v>
      </c>
    </row>
    <row r="12" spans="2:30">
      <c r="AA12" s="225" t="str">
        <f ca="1">CONCATENATE(Podesavanja!$AB12,Podesavanja!$AC12)</f>
        <v>BUbKolona2</v>
      </c>
      <c r="AB12" s="225" t="s">
        <v>2386</v>
      </c>
      <c r="AC12" s="225" t="s">
        <v>2889</v>
      </c>
      <c r="AD12" s="225">
        <v>4</v>
      </c>
    </row>
    <row r="13" spans="2:30">
      <c r="AA13" t="str">
        <f ca="1">CONCATENATE(Podesavanja!$AB13,Podesavanja!$AC13)</f>
        <v>BTGKolona1</v>
      </c>
      <c r="AB13" t="s">
        <v>1537</v>
      </c>
      <c r="AC13" t="s">
        <v>2888</v>
      </c>
      <c r="AD13">
        <v>3</v>
      </c>
    </row>
    <row r="14" spans="2:30">
      <c r="AA14" t="str">
        <f ca="1">CONCATENATE(Podesavanja!$AB14,Podesavanja!$AC14)</f>
        <v>BTGKolona2</v>
      </c>
      <c r="AB14" t="s">
        <v>1537</v>
      </c>
      <c r="AC14" t="s">
        <v>2889</v>
      </c>
      <c r="AD14">
        <v>4</v>
      </c>
    </row>
    <row r="15" spans="2:30">
      <c r="AA15" t="str">
        <f ca="1">CONCATENATE(Podesavanja!$AB15,Podesavanja!$AC15)</f>
        <v>AneksKolona1</v>
      </c>
      <c r="AB15" t="s">
        <v>1538</v>
      </c>
      <c r="AC15" t="s">
        <v>2888</v>
      </c>
      <c r="AD15">
        <v>2</v>
      </c>
    </row>
    <row r="16" spans="2:30">
      <c r="AA16" s="225" t="str">
        <f ca="1">CONCATENATE(Podesavanja!$AB16,Podesavanja!$AC16)</f>
        <v>AneksKolona2</v>
      </c>
      <c r="AB16" s="225" t="s">
        <v>1538</v>
      </c>
      <c r="AC16" s="225" t="s">
        <v>2889</v>
      </c>
      <c r="AD16" s="225">
        <v>3</v>
      </c>
    </row>
    <row r="17" spans="24:30">
      <c r="X17" s="113"/>
      <c r="AA17" t="str">
        <f ca="1">CONCATENATE(Podesavanja!$AB17,Podesavanja!$AC17)</f>
        <v>BPKKolona1</v>
      </c>
      <c r="AB17" t="s">
        <v>1539</v>
      </c>
      <c r="AC17" t="s">
        <v>2888</v>
      </c>
      <c r="AD17">
        <v>2</v>
      </c>
    </row>
    <row r="18" spans="24:30">
      <c r="X18" s="113"/>
      <c r="AA18" t="str">
        <f ca="1">CONCATENATE(Podesavanja!$AB18,Podesavanja!$AC18)</f>
        <v>BPKKolona2</v>
      </c>
      <c r="AB18" t="s">
        <v>1539</v>
      </c>
      <c r="AC18" t="s">
        <v>2889</v>
      </c>
      <c r="AD18">
        <v>3</v>
      </c>
    </row>
    <row r="19" spans="24:30">
      <c r="X19" s="113"/>
      <c r="AA19" t="str">
        <f ca="1">CONCATENATE(Podesavanja!$AB19,Podesavanja!$AC19)</f>
        <v>BPKKolona3</v>
      </c>
      <c r="AB19" t="s">
        <v>1539</v>
      </c>
      <c r="AC19" t="s">
        <v>2890</v>
      </c>
      <c r="AD19">
        <v>4</v>
      </c>
    </row>
    <row r="20" spans="24:30">
      <c r="X20" s="113"/>
      <c r="AA20" t="str">
        <f ca="1">CONCATENATE(Podesavanja!$AB20,Podesavanja!$AC20)</f>
        <v>BPKKolona4</v>
      </c>
      <c r="AB20" t="s">
        <v>1539</v>
      </c>
      <c r="AC20" t="s">
        <v>2891</v>
      </c>
      <c r="AD20">
        <v>5</v>
      </c>
    </row>
    <row r="21" spans="24:30">
      <c r="AA21" t="str">
        <f ca="1">CONCATENATE(Podesavanja!$AB21,Podesavanja!$AC21)</f>
        <v>BPKKolona5</v>
      </c>
      <c r="AB21" t="s">
        <v>1539</v>
      </c>
      <c r="AC21" t="s">
        <v>2892</v>
      </c>
      <c r="AD21">
        <v>6</v>
      </c>
    </row>
    <row r="22" spans="24:30">
      <c r="AA22" t="str">
        <f ca="1">CONCATENATE(Podesavanja!$AB22,Podesavanja!$AC22)</f>
        <v>BPKKolona6</v>
      </c>
      <c r="AB22" t="s">
        <v>1539</v>
      </c>
      <c r="AC22" t="s">
        <v>2893</v>
      </c>
      <c r="AD22">
        <v>7</v>
      </c>
    </row>
    <row r="23" spans="24:30">
      <c r="AA23" t="str">
        <f ca="1">CONCATENATE(Podesavanja!$AB23,Podesavanja!$AC23)</f>
        <v>BPKKolona7</v>
      </c>
      <c r="AB23" t="s">
        <v>1539</v>
      </c>
      <c r="AC23" t="s">
        <v>2894</v>
      </c>
      <c r="AD23">
        <v>8</v>
      </c>
    </row>
    <row r="24" spans="24:30">
      <c r="AA24" t="str">
        <f ca="1">CONCATENATE(Podesavanja!$AB24,Podesavanja!$AC24)</f>
        <v>BPKKolona8</v>
      </c>
      <c r="AB24" t="s">
        <v>1539</v>
      </c>
      <c r="AC24" t="s">
        <v>2895</v>
      </c>
      <c r="AD24">
        <v>9</v>
      </c>
    </row>
    <row r="25" spans="24:30">
      <c r="AA25" t="str">
        <f ca="1">CONCATENATE(Podesavanja!$AB25,Podesavanja!$AC25)</f>
        <v>BPKKolona9</v>
      </c>
      <c r="AB25" t="s">
        <v>1539</v>
      </c>
      <c r="AC25" t="s">
        <v>202</v>
      </c>
      <c r="AD25">
        <v>10</v>
      </c>
    </row>
    <row r="26" spans="24:30">
      <c r="AA26" t="str">
        <f ca="1">CONCATENATE(Podesavanja!$AB26,Podesavanja!$AC26)</f>
        <v>BPKKolona10</v>
      </c>
      <c r="AB26" t="s">
        <v>1539</v>
      </c>
      <c r="AC26" t="s">
        <v>203</v>
      </c>
      <c r="AD26">
        <v>11</v>
      </c>
    </row>
    <row r="27" spans="24:30">
      <c r="AA27" t="str">
        <f ca="1">CONCATENATE(Podesavanja!$AB27,Podesavanja!$AC27)</f>
        <v>BPKKolona11</v>
      </c>
      <c r="AB27" t="s">
        <v>1539</v>
      </c>
      <c r="AC27" t="s">
        <v>230</v>
      </c>
      <c r="AD27">
        <v>12</v>
      </c>
    </row>
    <row r="28" spans="24:30">
      <c r="AA28" s="78" t="str">
        <f ca="1">CONCATENATE(Podesavanja!$AB28,Podesavanja!$AC28)</f>
        <v>BPKKolona12</v>
      </c>
      <c r="AB28" s="78" t="s">
        <v>1539</v>
      </c>
      <c r="AC28" s="78" t="s">
        <v>231</v>
      </c>
      <c r="AD28" s="78">
        <v>13</v>
      </c>
    </row>
  </sheetData>
  <phoneticPr fontId="25"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sheetPr codeName="Sheet20"/>
  <dimension ref="A1:T444"/>
  <sheetViews>
    <sheetView showGridLines="0" showRowColHeaders="0" zoomScaleNormal="100" workbookViewId="0">
      <selection activeCell="U15" sqref="U15"/>
    </sheetView>
  </sheetViews>
  <sheetFormatPr defaultRowHeight="12.75"/>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c r="A1" s="173" t="s">
        <v>1527</v>
      </c>
      <c r="B1" s="174" t="s">
        <v>2371</v>
      </c>
      <c r="C1" s="175" t="s">
        <v>2425</v>
      </c>
      <c r="D1" s="105" t="s">
        <v>1529</v>
      </c>
      <c r="E1" s="105" t="s">
        <v>1459</v>
      </c>
      <c r="F1" s="105" t="s">
        <v>1693</v>
      </c>
      <c r="G1" s="175" t="s">
        <v>2454</v>
      </c>
      <c r="H1" t="s">
        <v>1478</v>
      </c>
      <c r="I1" s="175" t="s">
        <v>2299</v>
      </c>
      <c r="J1" s="175" t="s">
        <v>2511</v>
      </c>
      <c r="K1" s="175" t="s">
        <v>1473</v>
      </c>
      <c r="L1" s="175" t="s">
        <v>2427</v>
      </c>
      <c r="M1" s="175" t="s">
        <v>2428</v>
      </c>
      <c r="N1" s="175" t="s">
        <v>2429</v>
      </c>
      <c r="P1" s="2"/>
      <c r="Q1" s="2"/>
      <c r="R1" s="2"/>
      <c r="S1" s="2">
        <v>2</v>
      </c>
      <c r="T1" s="2">
        <v>3</v>
      </c>
    </row>
    <row r="2" spans="1:20">
      <c r="A2" s="105">
        <v>2</v>
      </c>
      <c r="B2" s="105" t="str">
        <f ca="1">VLOOKUP( $A2, Aop!$A$2:$P$456, 2, 0)</f>
        <v>BSa</v>
      </c>
      <c r="C2" s="105">
        <f t="shared" ref="C2:C65" ca="1" si="0">ID_Izvjestaj</f>
        <v>2</v>
      </c>
      <c r="D2" s="105" t="str">
        <f t="shared" ref="D2:D65" ca="1" si="1">Podatak_MB</f>
        <v>01111329</v>
      </c>
      <c r="E2" s="105" t="str">
        <f ca="1">Podatak_JIB</f>
        <v>4400692320002</v>
      </c>
      <c r="F2" s="105" t="b">
        <f t="shared" ref="F2:F65" ca="1" si="2">Konsolidovan_izvjestaj</f>
        <v>0</v>
      </c>
      <c r="G2" s="140">
        <f t="shared" ref="G2:G65" ca="1" si="3">Datum_Broj</f>
        <v>44742</v>
      </c>
      <c r="H2" s="105">
        <f ca="1">VLOOKUP( $A2, Aop!$A$2:$P$456, 4, 0)</f>
        <v>2</v>
      </c>
      <c r="I2" s="105">
        <f t="shared" ref="I2:I65" ca="1" si="4">Godina</f>
        <v>2022</v>
      </c>
      <c r="J2" s="105"/>
      <c r="K2" s="57" t="str">
        <f ca="1">IF( VLOOKUP( $H2, INDIRECT( "Lookup_" &amp; $B2), IF( LEFT( $B2, 2) = "BS", Q$2, Q$1), 0) = "", "", VLOOKUP( $H2, INDIRECT( "Lookup_" &amp; $B2), IF( $B2 = "BSa", Q$2, Q$1), 0))</f>
        <v/>
      </c>
      <c r="L2" s="57">
        <f t="shared" ref="L2:L65" ca="1" si="5">IF( VLOOKUP( $H2, INDIRECT( "Lookup_" &amp; $B2), IF( LEFT( $B2, 2) = "BS", R$2, R$1), 0) = "", "", VLOOKUP( $H2, INDIRECT( "Lookup_" &amp; $B2), IF( $B2 = "BSa", R$2, R$1), 0))</f>
        <v>1869827</v>
      </c>
      <c r="M2" s="57">
        <f t="shared" ref="M2:M65" ca="1" si="6">IF( VLOOKUP( $H2, INDIRECT( "Lookup_" &amp; $B2), IF( LEFT( $B2, 2) = "BS", S$2, S$1), 0) = "", "", VLOOKUP( $H2, INDIRECT( "Lookup_" &amp; $B2), IF( LEFT( $B2, 2) = "BS", S$2, S$1), 0))</f>
        <v>1174712</v>
      </c>
      <c r="N2" s="57">
        <f t="shared" ref="N2:N65" ca="1" si="7">IF( VLOOKUP( $H2, INDIRECT( "Lookup_" &amp; $B2), IF( LEFT( $B2, 2) = "BS", T$2, T$1), 0) = "", "", VLOOKUP( $H2, INDIRECT( "Lookup_" &amp; $B2), IF( LEFT( $B2, 2) = "BS", T$2, T$1), 0))</f>
        <v>695115</v>
      </c>
      <c r="Q2" s="2">
        <v>2</v>
      </c>
      <c r="R2" s="2">
        <v>3</v>
      </c>
      <c r="S2" s="2">
        <v>4</v>
      </c>
      <c r="T2" s="2">
        <v>5</v>
      </c>
    </row>
    <row r="3" spans="1:20">
      <c r="A3" s="105">
        <v>3</v>
      </c>
      <c r="B3" s="105" t="str">
        <f ca="1">VLOOKUP( $A3, Aop!$A$2:$P$456, 2, 0)</f>
        <v>BSa</v>
      </c>
      <c r="C3" s="105">
        <f t="shared" ca="1" si="0"/>
        <v>2</v>
      </c>
      <c r="D3" s="105" t="str">
        <f t="shared" ca="1" si="1"/>
        <v>01111329</v>
      </c>
      <c r="E3" s="105" t="str">
        <f t="shared" ref="E3:E65" ca="1" si="8">Podatak_JIB</f>
        <v>4400692320002</v>
      </c>
      <c r="F3" s="105" t="b">
        <f t="shared" ca="1" si="2"/>
        <v>0</v>
      </c>
      <c r="G3" s="140">
        <f t="shared" ca="1" si="3"/>
        <v>44742</v>
      </c>
      <c r="H3" s="105">
        <f ca="1">VLOOKUP( $A3, Aop!$A$2:$P$456, 4, 0)</f>
        <v>3</v>
      </c>
      <c r="I3" s="105">
        <f t="shared" ca="1" si="4"/>
        <v>2022</v>
      </c>
      <c r="J3" s="105"/>
      <c r="K3" s="57" t="str">
        <f t="shared" ref="K3:K66" ca="1" si="9">IF( VLOOKUP( $H3, INDIRECT( "Lookup_" &amp; $B3), IF( LEFT( $B3, 2) = "BS", Q$2, Q$1), 0) = "", "", VLOOKUP( $H3, INDIRECT( "Lookup_" &amp; $B3), IF( $B3 = "BSa", Q$2, Q$1), 0))</f>
        <v/>
      </c>
      <c r="L3" s="57" t="str">
        <f t="shared" ca="1" si="5"/>
        <v/>
      </c>
      <c r="M3" s="57" t="str">
        <f t="shared" ca="1" si="6"/>
        <v/>
      </c>
      <c r="N3" s="57">
        <f t="shared" ca="1" si="7"/>
        <v>0</v>
      </c>
    </row>
    <row r="4" spans="1:20">
      <c r="A4" s="105">
        <v>4</v>
      </c>
      <c r="B4" s="105" t="str">
        <f ca="1">VLOOKUP( $A4, Aop!$A$2:$P$456, 2, 0)</f>
        <v>BSa</v>
      </c>
      <c r="C4" s="105">
        <f t="shared" ca="1" si="0"/>
        <v>2</v>
      </c>
      <c r="D4" s="105" t="str">
        <f t="shared" ca="1" si="1"/>
        <v>01111329</v>
      </c>
      <c r="E4" s="105" t="str">
        <f t="shared" ca="1" si="8"/>
        <v>4400692320002</v>
      </c>
      <c r="F4" s="105" t="b">
        <f t="shared" ca="1" si="2"/>
        <v>0</v>
      </c>
      <c r="G4" s="140">
        <f t="shared" ca="1" si="3"/>
        <v>44742</v>
      </c>
      <c r="H4" s="105">
        <f ca="1">VLOOKUP( $A4, Aop!$A$2:$P$456, 4, 0)</f>
        <v>4</v>
      </c>
      <c r="I4" s="105">
        <f t="shared" ca="1" si="4"/>
        <v>2022</v>
      </c>
      <c r="J4" s="105"/>
      <c r="K4" s="57" t="str">
        <f t="shared" ca="1" si="9"/>
        <v/>
      </c>
      <c r="L4" s="57" t="str">
        <f t="shared" ca="1" si="5"/>
        <v/>
      </c>
      <c r="M4" s="57" t="str">
        <f t="shared" ca="1" si="6"/>
        <v/>
      </c>
      <c r="N4" s="57">
        <f t="shared" ca="1" si="7"/>
        <v>0</v>
      </c>
    </row>
    <row r="5" spans="1:20">
      <c r="A5" s="105">
        <v>5</v>
      </c>
      <c r="B5" s="105" t="str">
        <f ca="1">VLOOKUP( $A5, Aop!$A$2:$P$456, 2, 0)</f>
        <v>BSa</v>
      </c>
      <c r="C5" s="105">
        <f t="shared" ca="1" si="0"/>
        <v>2</v>
      </c>
      <c r="D5" s="105" t="str">
        <f t="shared" ca="1" si="1"/>
        <v>01111329</v>
      </c>
      <c r="E5" s="105" t="str">
        <f t="shared" ca="1" si="8"/>
        <v>4400692320002</v>
      </c>
      <c r="F5" s="105" t="b">
        <f t="shared" ca="1" si="2"/>
        <v>0</v>
      </c>
      <c r="G5" s="140">
        <f t="shared" ca="1" si="3"/>
        <v>44742</v>
      </c>
      <c r="H5" s="105">
        <f ca="1">VLOOKUP( $A5, Aop!$A$2:$P$456, 4, 0)</f>
        <v>5</v>
      </c>
      <c r="I5" s="105">
        <f t="shared" ca="1" si="4"/>
        <v>2022</v>
      </c>
      <c r="J5" s="105"/>
      <c r="K5" s="57" t="str">
        <f t="shared" ca="1" si="9"/>
        <v/>
      </c>
      <c r="L5" s="57" t="str">
        <f t="shared" ca="1" si="5"/>
        <v/>
      </c>
      <c r="M5" s="57" t="str">
        <f t="shared" ca="1" si="6"/>
        <v/>
      </c>
      <c r="N5" s="57">
        <f t="shared" ca="1" si="7"/>
        <v>0</v>
      </c>
    </row>
    <row r="6" spans="1:20">
      <c r="A6" s="105">
        <v>6</v>
      </c>
      <c r="B6" s="105" t="str">
        <f ca="1">VLOOKUP( $A6, Aop!$A$2:$P$456, 2, 0)</f>
        <v>BSa</v>
      </c>
      <c r="C6" s="105">
        <f t="shared" ca="1" si="0"/>
        <v>2</v>
      </c>
      <c r="D6" s="105" t="str">
        <f t="shared" ca="1" si="1"/>
        <v>01111329</v>
      </c>
      <c r="E6" s="105" t="str">
        <f t="shared" ca="1" si="8"/>
        <v>4400692320002</v>
      </c>
      <c r="F6" s="105" t="b">
        <f t="shared" ca="1" si="2"/>
        <v>0</v>
      </c>
      <c r="G6" s="140">
        <f t="shared" ca="1" si="3"/>
        <v>44742</v>
      </c>
      <c r="H6" s="105">
        <f ca="1">VLOOKUP( $A6, Aop!$A$2:$P$456, 4, 0)</f>
        <v>6</v>
      </c>
      <c r="I6" s="105">
        <f t="shared" ca="1" si="4"/>
        <v>2022</v>
      </c>
      <c r="J6" s="105"/>
      <c r="K6" s="57" t="str">
        <f t="shared" ca="1" si="9"/>
        <v/>
      </c>
      <c r="L6" s="57" t="str">
        <f t="shared" ca="1" si="5"/>
        <v/>
      </c>
      <c r="M6" s="57" t="str">
        <f t="shared" ca="1" si="6"/>
        <v/>
      </c>
      <c r="N6" s="57">
        <f t="shared" ca="1" si="7"/>
        <v>0</v>
      </c>
    </row>
    <row r="7" spans="1:20">
      <c r="A7" s="105">
        <v>7</v>
      </c>
      <c r="B7" s="105" t="str">
        <f ca="1">VLOOKUP( $A7, Aop!$A$2:$P$456, 2, 0)</f>
        <v>BSa</v>
      </c>
      <c r="C7" s="105">
        <f t="shared" ca="1" si="0"/>
        <v>2</v>
      </c>
      <c r="D7" s="105" t="str">
        <f t="shared" ca="1" si="1"/>
        <v>01111329</v>
      </c>
      <c r="E7" s="105" t="str">
        <f t="shared" ca="1" si="8"/>
        <v>4400692320002</v>
      </c>
      <c r="F7" s="105" t="b">
        <f t="shared" ca="1" si="2"/>
        <v>0</v>
      </c>
      <c r="G7" s="140">
        <f t="shared" ca="1" si="3"/>
        <v>44742</v>
      </c>
      <c r="H7" s="105">
        <f ca="1">VLOOKUP( $A7, Aop!$A$2:$P$456, 4, 0)</f>
        <v>7</v>
      </c>
      <c r="I7" s="105">
        <f t="shared" ca="1" si="4"/>
        <v>2022</v>
      </c>
      <c r="J7" s="105"/>
      <c r="K7" s="57" t="str">
        <f t="shared" ca="1" si="9"/>
        <v/>
      </c>
      <c r="L7" s="57">
        <f t="shared" ca="1" si="5"/>
        <v>1869827</v>
      </c>
      <c r="M7" s="57">
        <f t="shared" ca="1" si="6"/>
        <v>1174712</v>
      </c>
      <c r="N7" s="57">
        <f t="shared" ca="1" si="7"/>
        <v>695115</v>
      </c>
    </row>
    <row r="8" spans="1:20">
      <c r="A8" s="105">
        <v>8</v>
      </c>
      <c r="B8" s="105" t="str">
        <f ca="1">VLOOKUP( $A8, Aop!$A$2:$P$456, 2, 0)</f>
        <v>BSa</v>
      </c>
      <c r="C8" s="105">
        <f t="shared" ca="1" si="0"/>
        <v>2</v>
      </c>
      <c r="D8" s="105" t="str">
        <f t="shared" ca="1" si="1"/>
        <v>01111329</v>
      </c>
      <c r="E8" s="105" t="str">
        <f t="shared" ca="1" si="8"/>
        <v>4400692320002</v>
      </c>
      <c r="F8" s="105" t="b">
        <f t="shared" ca="1" si="2"/>
        <v>0</v>
      </c>
      <c r="G8" s="140">
        <f t="shared" ca="1" si="3"/>
        <v>44742</v>
      </c>
      <c r="H8" s="105">
        <f ca="1">VLOOKUP( $A8, Aop!$A$2:$P$456, 4, 0)</f>
        <v>8</v>
      </c>
      <c r="I8" s="105">
        <f t="shared" ca="1" si="4"/>
        <v>2022</v>
      </c>
      <c r="J8" s="105"/>
      <c r="K8" s="57" t="str">
        <f t="shared" ca="1" si="9"/>
        <v/>
      </c>
      <c r="L8" s="57">
        <f t="shared" ca="1" si="5"/>
        <v>102453326</v>
      </c>
      <c r="M8" s="57">
        <f t="shared" ca="1" si="6"/>
        <v>78726199</v>
      </c>
      <c r="N8" s="57">
        <f t="shared" ca="1" si="7"/>
        <v>23727127</v>
      </c>
    </row>
    <row r="9" spans="1:20">
      <c r="A9" s="105">
        <v>9</v>
      </c>
      <c r="B9" s="105" t="str">
        <f ca="1">VLOOKUP( $A9, Aop!$A$2:$P$456, 2, 0)</f>
        <v>BSa</v>
      </c>
      <c r="C9" s="105">
        <f t="shared" ca="1" si="0"/>
        <v>2</v>
      </c>
      <c r="D9" s="105" t="str">
        <f t="shared" ca="1" si="1"/>
        <v>01111329</v>
      </c>
      <c r="E9" s="105" t="str">
        <f t="shared" ca="1" si="8"/>
        <v>4400692320002</v>
      </c>
      <c r="F9" s="105" t="b">
        <f t="shared" ca="1" si="2"/>
        <v>0</v>
      </c>
      <c r="G9" s="140">
        <f t="shared" ca="1" si="3"/>
        <v>44742</v>
      </c>
      <c r="H9" s="105">
        <f ca="1">VLOOKUP( $A9, Aop!$A$2:$P$456, 4, 0)</f>
        <v>9</v>
      </c>
      <c r="I9" s="105">
        <f t="shared" ca="1" si="4"/>
        <v>2022</v>
      </c>
      <c r="J9" s="105"/>
      <c r="K9" s="57" t="str">
        <f t="shared" ca="1" si="9"/>
        <v/>
      </c>
      <c r="L9" s="57">
        <f t="shared" ca="1" si="5"/>
        <v>17793458</v>
      </c>
      <c r="M9" s="57" t="str">
        <f t="shared" ca="1" si="6"/>
        <v/>
      </c>
      <c r="N9" s="57">
        <f t="shared" ca="1" si="7"/>
        <v>17793458</v>
      </c>
    </row>
    <row r="10" spans="1:20">
      <c r="A10" s="105">
        <v>10</v>
      </c>
      <c r="B10" s="105" t="str">
        <f ca="1">VLOOKUP( $A10, Aop!$A$2:$P$456, 2, 0)</f>
        <v>BSa</v>
      </c>
      <c r="C10" s="105">
        <f t="shared" ca="1" si="0"/>
        <v>2</v>
      </c>
      <c r="D10" s="105" t="str">
        <f t="shared" ca="1" si="1"/>
        <v>01111329</v>
      </c>
      <c r="E10" s="105" t="str">
        <f t="shared" ca="1" si="8"/>
        <v>4400692320002</v>
      </c>
      <c r="F10" s="105" t="b">
        <f t="shared" ca="1" si="2"/>
        <v>0</v>
      </c>
      <c r="G10" s="140">
        <f t="shared" ca="1" si="3"/>
        <v>44742</v>
      </c>
      <c r="H10" s="105">
        <f ca="1">VLOOKUP( $A10, Aop!$A$2:$P$456, 4, 0)</f>
        <v>10</v>
      </c>
      <c r="I10" s="105">
        <f t="shared" ca="1" si="4"/>
        <v>2022</v>
      </c>
      <c r="J10" s="105"/>
      <c r="K10" s="57" t="str">
        <f t="shared" ca="1" si="9"/>
        <v/>
      </c>
      <c r="L10" s="57">
        <f t="shared" ca="1" si="5"/>
        <v>81392911</v>
      </c>
      <c r="M10" s="57">
        <f t="shared" ca="1" si="6"/>
        <v>77839655</v>
      </c>
      <c r="N10" s="57">
        <f t="shared" ca="1" si="7"/>
        <v>3553256</v>
      </c>
    </row>
    <row r="11" spans="1:20">
      <c r="A11" s="105">
        <v>11</v>
      </c>
      <c r="B11" s="105" t="str">
        <f ca="1">VLOOKUP( $A11, Aop!$A$2:$P$456, 2, 0)</f>
        <v>BSa</v>
      </c>
      <c r="C11" s="105">
        <f t="shared" ca="1" si="0"/>
        <v>2</v>
      </c>
      <c r="D11" s="105" t="str">
        <f t="shared" ca="1" si="1"/>
        <v>01111329</v>
      </c>
      <c r="E11" s="105" t="str">
        <f t="shared" ca="1" si="8"/>
        <v>4400692320002</v>
      </c>
      <c r="F11" s="105" t="b">
        <f t="shared" ca="1" si="2"/>
        <v>0</v>
      </c>
      <c r="G11" s="140">
        <f t="shared" ca="1" si="3"/>
        <v>44742</v>
      </c>
      <c r="H11" s="105">
        <f ca="1">VLOOKUP( $A11, Aop!$A$2:$P$456, 4, 0)</f>
        <v>11</v>
      </c>
      <c r="I11" s="105">
        <f t="shared" ca="1" si="4"/>
        <v>2022</v>
      </c>
      <c r="J11" s="105"/>
      <c r="K11" s="57" t="str">
        <f t="shared" ca="1" si="9"/>
        <v/>
      </c>
      <c r="L11" s="57">
        <f t="shared" ca="1" si="5"/>
        <v>1139336</v>
      </c>
      <c r="M11" s="57">
        <f t="shared" ca="1" si="6"/>
        <v>654574</v>
      </c>
      <c r="N11" s="57">
        <f t="shared" ca="1" si="7"/>
        <v>484762</v>
      </c>
    </row>
    <row r="12" spans="1:20">
      <c r="A12" s="105">
        <v>12</v>
      </c>
      <c r="B12" s="105" t="str">
        <f ca="1">VLOOKUP( $A12, Aop!$A$2:$P$456, 2, 0)</f>
        <v>BSa</v>
      </c>
      <c r="C12" s="105">
        <f t="shared" ca="1" si="0"/>
        <v>2</v>
      </c>
      <c r="D12" s="105" t="str">
        <f t="shared" ca="1" si="1"/>
        <v>01111329</v>
      </c>
      <c r="E12" s="105" t="str">
        <f t="shared" ca="1" si="8"/>
        <v>4400692320002</v>
      </c>
      <c r="F12" s="105" t="b">
        <f t="shared" ca="1" si="2"/>
        <v>0</v>
      </c>
      <c r="G12" s="140">
        <f t="shared" ca="1" si="3"/>
        <v>44742</v>
      </c>
      <c r="H12" s="105">
        <f ca="1">VLOOKUP( $A12, Aop!$A$2:$P$456, 4, 0)</f>
        <v>12</v>
      </c>
      <c r="I12" s="105">
        <f t="shared" ca="1" si="4"/>
        <v>2022</v>
      </c>
      <c r="J12" s="105"/>
      <c r="K12" s="57" t="str">
        <f t="shared" ca="1" si="9"/>
        <v/>
      </c>
      <c r="L12" s="57">
        <f t="shared" ca="1" si="5"/>
        <v>168283</v>
      </c>
      <c r="M12" s="57" t="str">
        <f t="shared" ca="1" si="6"/>
        <v/>
      </c>
      <c r="N12" s="57">
        <f t="shared" ca="1" si="7"/>
        <v>168283</v>
      </c>
    </row>
    <row r="13" spans="1:20">
      <c r="A13" s="105">
        <v>13</v>
      </c>
      <c r="B13" s="105" t="str">
        <f ca="1">VLOOKUP( $A13, Aop!$A$2:$P$456, 2, 0)</f>
        <v>BSa</v>
      </c>
      <c r="C13" s="105">
        <f t="shared" ca="1" si="0"/>
        <v>2</v>
      </c>
      <c r="D13" s="105" t="str">
        <f t="shared" ca="1" si="1"/>
        <v>01111329</v>
      </c>
      <c r="E13" s="105" t="str">
        <f t="shared" ca="1" si="8"/>
        <v>4400692320002</v>
      </c>
      <c r="F13" s="105" t="b">
        <f t="shared" ca="1" si="2"/>
        <v>0</v>
      </c>
      <c r="G13" s="140">
        <f t="shared" ca="1" si="3"/>
        <v>44742</v>
      </c>
      <c r="H13" s="105">
        <f ca="1">VLOOKUP( $A13, Aop!$A$2:$P$456, 4, 0)</f>
        <v>13</v>
      </c>
      <c r="I13" s="105">
        <f t="shared" ca="1" si="4"/>
        <v>2022</v>
      </c>
      <c r="J13" s="105"/>
      <c r="K13" s="57" t="str">
        <f t="shared" ca="1" si="9"/>
        <v/>
      </c>
      <c r="L13" s="57" t="str">
        <f t="shared" ca="1" si="5"/>
        <v/>
      </c>
      <c r="M13" s="57" t="str">
        <f t="shared" ca="1" si="6"/>
        <v/>
      </c>
      <c r="N13" s="57">
        <f t="shared" ca="1" si="7"/>
        <v>0</v>
      </c>
    </row>
    <row r="14" spans="1:20">
      <c r="A14" s="105">
        <v>14</v>
      </c>
      <c r="B14" s="105" t="str">
        <f ca="1">VLOOKUP( $A14, Aop!$A$2:$P$456, 2, 0)</f>
        <v>BSa</v>
      </c>
      <c r="C14" s="105">
        <f t="shared" ca="1" si="0"/>
        <v>2</v>
      </c>
      <c r="D14" s="105" t="str">
        <f t="shared" ca="1" si="1"/>
        <v>01111329</v>
      </c>
      <c r="E14" s="105" t="str">
        <f t="shared" ca="1" si="8"/>
        <v>4400692320002</v>
      </c>
      <c r="F14" s="105" t="b">
        <f t="shared" ca="1" si="2"/>
        <v>0</v>
      </c>
      <c r="G14" s="140">
        <f t="shared" ca="1" si="3"/>
        <v>44742</v>
      </c>
      <c r="H14" s="105">
        <f ca="1">VLOOKUP( $A14, Aop!$A$2:$P$456, 4, 0)</f>
        <v>14</v>
      </c>
      <c r="I14" s="105">
        <f t="shared" ca="1" si="4"/>
        <v>2022</v>
      </c>
      <c r="J14" s="105"/>
      <c r="K14" s="57" t="str">
        <f t="shared" ca="1" si="9"/>
        <v/>
      </c>
      <c r="L14" s="57">
        <f t="shared" ca="1" si="5"/>
        <v>1959338</v>
      </c>
      <c r="M14" s="57">
        <f t="shared" ca="1" si="6"/>
        <v>231970</v>
      </c>
      <c r="N14" s="57">
        <f t="shared" ca="1" si="7"/>
        <v>1727368</v>
      </c>
    </row>
    <row r="15" spans="1:20">
      <c r="A15" s="105">
        <v>15</v>
      </c>
      <c r="B15" s="105" t="str">
        <f ca="1">VLOOKUP( $A15, Aop!$A$2:$P$456, 2, 0)</f>
        <v>BSa</v>
      </c>
      <c r="C15" s="105">
        <f t="shared" ca="1" si="0"/>
        <v>2</v>
      </c>
      <c r="D15" s="105" t="str">
        <f t="shared" ca="1" si="1"/>
        <v>01111329</v>
      </c>
      <c r="E15" s="105" t="str">
        <f t="shared" ca="1" si="8"/>
        <v>4400692320002</v>
      </c>
      <c r="F15" s="105" t="b">
        <f t="shared" ca="1" si="2"/>
        <v>0</v>
      </c>
      <c r="G15" s="140">
        <f t="shared" ca="1" si="3"/>
        <v>44742</v>
      </c>
      <c r="H15" s="105">
        <f ca="1">VLOOKUP( $A15, Aop!$A$2:$P$456, 4, 0)</f>
        <v>15</v>
      </c>
      <c r="I15" s="105">
        <f t="shared" ca="1" si="4"/>
        <v>2022</v>
      </c>
      <c r="J15" s="105"/>
      <c r="K15" s="57" t="str">
        <f t="shared" ca="1" si="9"/>
        <v/>
      </c>
      <c r="L15" s="57" t="str">
        <f t="shared" ca="1" si="5"/>
        <v/>
      </c>
      <c r="M15" s="57" t="str">
        <f t="shared" ca="1" si="6"/>
        <v/>
      </c>
      <c r="N15" s="57">
        <f t="shared" ca="1" si="7"/>
        <v>0</v>
      </c>
    </row>
    <row r="16" spans="1:20">
      <c r="A16" s="105">
        <v>16</v>
      </c>
      <c r="B16" s="105" t="str">
        <f ca="1">VLOOKUP( $A16, Aop!$A$2:$P$456, 2, 0)</f>
        <v>BSa</v>
      </c>
      <c r="C16" s="105">
        <f t="shared" ca="1" si="0"/>
        <v>2</v>
      </c>
      <c r="D16" s="105" t="str">
        <f t="shared" ca="1" si="1"/>
        <v>01111329</v>
      </c>
      <c r="E16" s="105" t="str">
        <f t="shared" ca="1" si="8"/>
        <v>4400692320002</v>
      </c>
      <c r="F16" s="105" t="b">
        <f t="shared" ca="1" si="2"/>
        <v>0</v>
      </c>
      <c r="G16" s="140">
        <f t="shared" ca="1" si="3"/>
        <v>44742</v>
      </c>
      <c r="H16" s="105">
        <f ca="1">VLOOKUP( $A16, Aop!$A$2:$P$456, 4, 0)</f>
        <v>16</v>
      </c>
      <c r="I16" s="105">
        <f t="shared" ca="1" si="4"/>
        <v>2022</v>
      </c>
      <c r="J16" s="105"/>
      <c r="K16" s="57" t="str">
        <f t="shared" ca="1" si="9"/>
        <v/>
      </c>
      <c r="L16" s="57" t="str">
        <f t="shared" ca="1" si="5"/>
        <v/>
      </c>
      <c r="M16" s="57" t="str">
        <f t="shared" ca="1" si="6"/>
        <v/>
      </c>
      <c r="N16" s="57">
        <f t="shared" ca="1" si="7"/>
        <v>0</v>
      </c>
    </row>
    <row r="17" spans="1:14">
      <c r="A17" s="105">
        <v>17</v>
      </c>
      <c r="B17" s="105" t="str">
        <f ca="1">VLOOKUP( $A17, Aop!$A$2:$P$456, 2, 0)</f>
        <v>BSa</v>
      </c>
      <c r="C17" s="105">
        <f t="shared" ca="1" si="0"/>
        <v>2</v>
      </c>
      <c r="D17" s="105" t="str">
        <f t="shared" ca="1" si="1"/>
        <v>01111329</v>
      </c>
      <c r="E17" s="105" t="str">
        <f t="shared" ca="1" si="8"/>
        <v>4400692320002</v>
      </c>
      <c r="F17" s="105" t="b">
        <f t="shared" ca="1" si="2"/>
        <v>0</v>
      </c>
      <c r="G17" s="140">
        <f t="shared" ca="1" si="3"/>
        <v>44742</v>
      </c>
      <c r="H17" s="105">
        <f ca="1">VLOOKUP( $A17, Aop!$A$2:$P$456, 4, 0)</f>
        <v>17</v>
      </c>
      <c r="I17" s="105">
        <f t="shared" ca="1" si="4"/>
        <v>2022</v>
      </c>
      <c r="J17" s="105"/>
      <c r="K17" s="57" t="str">
        <f t="shared" ca="1" si="9"/>
        <v/>
      </c>
      <c r="L17" s="57">
        <f t="shared" ca="1" si="5"/>
        <v>0</v>
      </c>
      <c r="M17" s="57">
        <f t="shared" ca="1" si="6"/>
        <v>0</v>
      </c>
      <c r="N17" s="57">
        <f t="shared" ca="1" si="7"/>
        <v>0</v>
      </c>
    </row>
    <row r="18" spans="1:14">
      <c r="A18" s="105">
        <v>18</v>
      </c>
      <c r="B18" s="105" t="str">
        <f ca="1">VLOOKUP( $A18, Aop!$A$2:$P$456, 2, 0)</f>
        <v>BSa</v>
      </c>
      <c r="C18" s="105">
        <f t="shared" ca="1" si="0"/>
        <v>2</v>
      </c>
      <c r="D18" s="105" t="str">
        <f t="shared" ca="1" si="1"/>
        <v>01111329</v>
      </c>
      <c r="E18" s="105" t="str">
        <f t="shared" ca="1" si="8"/>
        <v>4400692320002</v>
      </c>
      <c r="F18" s="105" t="b">
        <f t="shared" ca="1" si="2"/>
        <v>0</v>
      </c>
      <c r="G18" s="140">
        <f t="shared" ca="1" si="3"/>
        <v>44742</v>
      </c>
      <c r="H18" s="105">
        <f ca="1">VLOOKUP( $A18, Aop!$A$2:$P$456, 4, 0)</f>
        <v>18</v>
      </c>
      <c r="I18" s="105">
        <f t="shared" ca="1" si="4"/>
        <v>2022</v>
      </c>
      <c r="J18" s="105"/>
      <c r="K18" s="57" t="str">
        <f t="shared" ca="1" si="9"/>
        <v/>
      </c>
      <c r="L18" s="57" t="str">
        <f t="shared" ca="1" si="5"/>
        <v/>
      </c>
      <c r="M18" s="57" t="str">
        <f t="shared" ca="1" si="6"/>
        <v/>
      </c>
      <c r="N18" s="57">
        <f t="shared" ca="1" si="7"/>
        <v>0</v>
      </c>
    </row>
    <row r="19" spans="1:14">
      <c r="A19" s="105">
        <v>19</v>
      </c>
      <c r="B19" s="105" t="str">
        <f ca="1">VLOOKUP( $A19, Aop!$A$2:$P$456, 2, 0)</f>
        <v>BSa</v>
      </c>
      <c r="C19" s="105">
        <f t="shared" ca="1" si="0"/>
        <v>2</v>
      </c>
      <c r="D19" s="105" t="str">
        <f t="shared" ca="1" si="1"/>
        <v>01111329</v>
      </c>
      <c r="E19" s="105" t="str">
        <f t="shared" ca="1" si="8"/>
        <v>4400692320002</v>
      </c>
      <c r="F19" s="105" t="b">
        <f t="shared" ca="1" si="2"/>
        <v>0</v>
      </c>
      <c r="G19" s="140">
        <f t="shared" ca="1" si="3"/>
        <v>44742</v>
      </c>
      <c r="H19" s="105">
        <f ca="1">VLOOKUP( $A19, Aop!$A$2:$P$456, 4, 0)</f>
        <v>19</v>
      </c>
      <c r="I19" s="105">
        <f t="shared" ca="1" si="4"/>
        <v>2022</v>
      </c>
      <c r="J19" s="105"/>
      <c r="K19" s="57" t="str">
        <f t="shared" ca="1" si="9"/>
        <v/>
      </c>
      <c r="L19" s="57" t="str">
        <f t="shared" ca="1" si="5"/>
        <v/>
      </c>
      <c r="M19" s="57" t="str">
        <f t="shared" ca="1" si="6"/>
        <v/>
      </c>
      <c r="N19" s="57">
        <f t="shared" ca="1" si="7"/>
        <v>0</v>
      </c>
    </row>
    <row r="20" spans="1:14">
      <c r="A20" s="105">
        <v>20</v>
      </c>
      <c r="B20" s="105" t="str">
        <f ca="1">VLOOKUP( $A20, Aop!$A$2:$P$456, 2, 0)</f>
        <v>BSa</v>
      </c>
      <c r="C20" s="105">
        <f t="shared" ca="1" si="0"/>
        <v>2</v>
      </c>
      <c r="D20" s="105" t="str">
        <f t="shared" ca="1" si="1"/>
        <v>01111329</v>
      </c>
      <c r="E20" s="105" t="str">
        <f t="shared" ca="1" si="8"/>
        <v>4400692320002</v>
      </c>
      <c r="F20" s="105" t="b">
        <f t="shared" ca="1" si="2"/>
        <v>0</v>
      </c>
      <c r="G20" s="140">
        <f t="shared" ca="1" si="3"/>
        <v>44742</v>
      </c>
      <c r="H20" s="105">
        <f ca="1">VLOOKUP( $A20, Aop!$A$2:$P$456, 4, 0)</f>
        <v>20</v>
      </c>
      <c r="I20" s="105">
        <f t="shared" ca="1" si="4"/>
        <v>2022</v>
      </c>
      <c r="J20" s="105"/>
      <c r="K20" s="57" t="str">
        <f t="shared" ca="1" si="9"/>
        <v/>
      </c>
      <c r="L20" s="57" t="str">
        <f t="shared" ca="1" si="5"/>
        <v/>
      </c>
      <c r="M20" s="57" t="str">
        <f t="shared" ca="1" si="6"/>
        <v/>
      </c>
      <c r="N20" s="57">
        <f t="shared" ca="1" si="7"/>
        <v>0</v>
      </c>
    </row>
    <row r="21" spans="1:14">
      <c r="A21" s="105">
        <v>21</v>
      </c>
      <c r="B21" s="105" t="str">
        <f ca="1">VLOOKUP( $A21, Aop!$A$2:$P$456, 2, 0)</f>
        <v>BSa</v>
      </c>
      <c r="C21" s="105">
        <f t="shared" ca="1" si="0"/>
        <v>2</v>
      </c>
      <c r="D21" s="105" t="str">
        <f t="shared" ca="1" si="1"/>
        <v>01111329</v>
      </c>
      <c r="E21" s="105" t="str">
        <f t="shared" ca="1" si="8"/>
        <v>4400692320002</v>
      </c>
      <c r="F21" s="105" t="b">
        <f t="shared" ca="1" si="2"/>
        <v>0</v>
      </c>
      <c r="G21" s="140">
        <f t="shared" ca="1" si="3"/>
        <v>44742</v>
      </c>
      <c r="H21" s="105">
        <f ca="1">VLOOKUP( $A21, Aop!$A$2:$P$456, 4, 0)</f>
        <v>21</v>
      </c>
      <c r="I21" s="105">
        <f t="shared" ca="1" si="4"/>
        <v>2022</v>
      </c>
      <c r="J21" s="105"/>
      <c r="K21" s="57" t="str">
        <f t="shared" ca="1" si="9"/>
        <v/>
      </c>
      <c r="L21" s="57" t="str">
        <f t="shared" ca="1" si="5"/>
        <v/>
      </c>
      <c r="M21" s="57" t="str">
        <f t="shared" ca="1" si="6"/>
        <v/>
      </c>
      <c r="N21" s="57">
        <f t="shared" ca="1" si="7"/>
        <v>0</v>
      </c>
    </row>
    <row r="22" spans="1:14">
      <c r="A22" s="105">
        <v>22</v>
      </c>
      <c r="B22" s="105" t="str">
        <f ca="1">VLOOKUP( $A22, Aop!$A$2:$P$456, 2, 0)</f>
        <v>BSa</v>
      </c>
      <c r="C22" s="105">
        <f t="shared" ca="1" si="0"/>
        <v>2</v>
      </c>
      <c r="D22" s="105" t="str">
        <f t="shared" ca="1" si="1"/>
        <v>01111329</v>
      </c>
      <c r="E22" s="105" t="str">
        <f t="shared" ca="1" si="8"/>
        <v>4400692320002</v>
      </c>
      <c r="F22" s="105" t="b">
        <f t="shared" ca="1" si="2"/>
        <v>0</v>
      </c>
      <c r="G22" s="140">
        <f t="shared" ca="1" si="3"/>
        <v>44742</v>
      </c>
      <c r="H22" s="105">
        <f ca="1">VLOOKUP( $A22, Aop!$A$2:$P$456, 4, 0)</f>
        <v>22</v>
      </c>
      <c r="I22" s="105">
        <f t="shared" ca="1" si="4"/>
        <v>2022</v>
      </c>
      <c r="J22" s="105"/>
      <c r="K22" s="57" t="str">
        <f t="shared" ca="1" si="9"/>
        <v/>
      </c>
      <c r="L22" s="57">
        <f t="shared" ca="1" si="5"/>
        <v>45642122</v>
      </c>
      <c r="M22" s="57">
        <f t="shared" ca="1" si="6"/>
        <v>17085000</v>
      </c>
      <c r="N22" s="57">
        <f t="shared" ca="1" si="7"/>
        <v>28557122</v>
      </c>
    </row>
    <row r="23" spans="1:14">
      <c r="A23" s="105">
        <v>23</v>
      </c>
      <c r="B23" s="105" t="str">
        <f ca="1">VLOOKUP( $A23, Aop!$A$2:$P$456, 2, 0)</f>
        <v>BSa</v>
      </c>
      <c r="C23" s="105">
        <f t="shared" ca="1" si="0"/>
        <v>2</v>
      </c>
      <c r="D23" s="105" t="str">
        <f t="shared" ca="1" si="1"/>
        <v>01111329</v>
      </c>
      <c r="E23" s="105" t="str">
        <f t="shared" ca="1" si="8"/>
        <v>4400692320002</v>
      </c>
      <c r="F23" s="105" t="b">
        <f t="shared" ca="1" si="2"/>
        <v>0</v>
      </c>
      <c r="G23" s="140">
        <f t="shared" ca="1" si="3"/>
        <v>44742</v>
      </c>
      <c r="H23" s="105">
        <f ca="1">VLOOKUP( $A23, Aop!$A$2:$P$456, 4, 0)</f>
        <v>23</v>
      </c>
      <c r="I23" s="105">
        <f t="shared" ca="1" si="4"/>
        <v>2022</v>
      </c>
      <c r="J23" s="105"/>
      <c r="K23" s="57" t="str">
        <f t="shared" ca="1" si="9"/>
        <v/>
      </c>
      <c r="L23" s="57" t="str">
        <f t="shared" ca="1" si="5"/>
        <v/>
      </c>
      <c r="M23" s="57" t="str">
        <f t="shared" ca="1" si="6"/>
        <v/>
      </c>
      <c r="N23" s="57">
        <f t="shared" ca="1" si="7"/>
        <v>0</v>
      </c>
    </row>
    <row r="24" spans="1:14">
      <c r="A24" s="105">
        <v>24</v>
      </c>
      <c r="B24" s="105" t="str">
        <f ca="1">VLOOKUP( $A24, Aop!$A$2:$P$456, 2, 0)</f>
        <v>BSa</v>
      </c>
      <c r="C24" s="105">
        <f t="shared" ca="1" si="0"/>
        <v>2</v>
      </c>
      <c r="D24" s="105" t="str">
        <f t="shared" ca="1" si="1"/>
        <v>01111329</v>
      </c>
      <c r="E24" s="105" t="str">
        <f t="shared" ca="1" si="8"/>
        <v>4400692320002</v>
      </c>
      <c r="F24" s="105" t="b">
        <f t="shared" ca="1" si="2"/>
        <v>0</v>
      </c>
      <c r="G24" s="140">
        <f t="shared" ca="1" si="3"/>
        <v>44742</v>
      </c>
      <c r="H24" s="105">
        <f ca="1">VLOOKUP( $A24, Aop!$A$2:$P$456, 4, 0)</f>
        <v>24</v>
      </c>
      <c r="I24" s="105">
        <f t="shared" ca="1" si="4"/>
        <v>2022</v>
      </c>
      <c r="J24" s="105"/>
      <c r="K24" s="57" t="str">
        <f t="shared" ca="1" si="9"/>
        <v/>
      </c>
      <c r="L24" s="57">
        <f t="shared" ca="1" si="5"/>
        <v>44573622</v>
      </c>
      <c r="M24" s="57">
        <f t="shared" ca="1" si="6"/>
        <v>17085000</v>
      </c>
      <c r="N24" s="57">
        <f t="shared" ca="1" si="7"/>
        <v>27488622</v>
      </c>
    </row>
    <row r="25" spans="1:14">
      <c r="A25" s="105">
        <v>25</v>
      </c>
      <c r="B25" s="105" t="str">
        <f ca="1">VLOOKUP( $A25, Aop!$A$2:$P$456, 2, 0)</f>
        <v>BSa</v>
      </c>
      <c r="C25" s="105">
        <f t="shared" ca="1" si="0"/>
        <v>2</v>
      </c>
      <c r="D25" s="105" t="str">
        <f t="shared" ca="1" si="1"/>
        <v>01111329</v>
      </c>
      <c r="E25" s="105" t="str">
        <f t="shared" ca="1" si="8"/>
        <v>4400692320002</v>
      </c>
      <c r="F25" s="105" t="b">
        <f t="shared" ca="1" si="2"/>
        <v>0</v>
      </c>
      <c r="G25" s="140">
        <f t="shared" ca="1" si="3"/>
        <v>44742</v>
      </c>
      <c r="H25" s="105">
        <f ca="1">VLOOKUP( $A25, Aop!$A$2:$P$456, 4, 0)</f>
        <v>25</v>
      </c>
      <c r="I25" s="105">
        <f t="shared" ca="1" si="4"/>
        <v>2022</v>
      </c>
      <c r="J25" s="105"/>
      <c r="K25" s="57" t="str">
        <f t="shared" ca="1" si="9"/>
        <v/>
      </c>
      <c r="L25" s="57">
        <f t="shared" ca="1" si="5"/>
        <v>868500</v>
      </c>
      <c r="M25" s="57">
        <f t="shared" ca="1" si="6"/>
        <v>0</v>
      </c>
      <c r="N25" s="57">
        <f t="shared" ca="1" si="7"/>
        <v>868500</v>
      </c>
    </row>
    <row r="26" spans="1:14">
      <c r="A26" s="105">
        <v>26</v>
      </c>
      <c r="B26" s="105" t="str">
        <f ca="1">VLOOKUP( $A26, Aop!$A$2:$P$456, 2, 0)</f>
        <v>BSa</v>
      </c>
      <c r="C26" s="105">
        <f t="shared" ca="1" si="0"/>
        <v>2</v>
      </c>
      <c r="D26" s="105" t="str">
        <f t="shared" ca="1" si="1"/>
        <v>01111329</v>
      </c>
      <c r="E26" s="105" t="str">
        <f t="shared" ca="1" si="8"/>
        <v>4400692320002</v>
      </c>
      <c r="F26" s="105" t="b">
        <f t="shared" ca="1" si="2"/>
        <v>0</v>
      </c>
      <c r="G26" s="140">
        <f t="shared" ca="1" si="3"/>
        <v>44742</v>
      </c>
      <c r="H26" s="105">
        <f ca="1">VLOOKUP( $A26, Aop!$A$2:$P$456, 4, 0)</f>
        <v>26</v>
      </c>
      <c r="I26" s="105">
        <f t="shared" ca="1" si="4"/>
        <v>2022</v>
      </c>
      <c r="J26" s="105"/>
      <c r="K26" s="57" t="str">
        <f t="shared" ca="1" si="9"/>
        <v/>
      </c>
      <c r="L26" s="57" t="str">
        <f t="shared" ca="1" si="5"/>
        <v/>
      </c>
      <c r="M26" s="57" t="str">
        <f t="shared" ca="1" si="6"/>
        <v/>
      </c>
      <c r="N26" s="57">
        <f t="shared" ca="1" si="7"/>
        <v>0</v>
      </c>
    </row>
    <row r="27" spans="1:14">
      <c r="A27" s="105">
        <v>27</v>
      </c>
      <c r="B27" s="105" t="str">
        <f ca="1">VLOOKUP( $A27, Aop!$A$2:$P$456, 2, 0)</f>
        <v>BSa</v>
      </c>
      <c r="C27" s="105">
        <f t="shared" ca="1" si="0"/>
        <v>2</v>
      </c>
      <c r="D27" s="105" t="str">
        <f t="shared" ca="1" si="1"/>
        <v>01111329</v>
      </c>
      <c r="E27" s="105" t="str">
        <f t="shared" ca="1" si="8"/>
        <v>4400692320002</v>
      </c>
      <c r="F27" s="105" t="b">
        <f t="shared" ca="1" si="2"/>
        <v>0</v>
      </c>
      <c r="G27" s="140">
        <f t="shared" ca="1" si="3"/>
        <v>44742</v>
      </c>
      <c r="H27" s="105">
        <f ca="1">VLOOKUP( $A27, Aop!$A$2:$P$456, 4, 0)</f>
        <v>27</v>
      </c>
      <c r="I27" s="105">
        <f t="shared" ca="1" si="4"/>
        <v>2022</v>
      </c>
      <c r="J27" s="105"/>
      <c r="K27" s="57" t="str">
        <f t="shared" ca="1" si="9"/>
        <v/>
      </c>
      <c r="L27" s="57">
        <f t="shared" ca="1" si="5"/>
        <v>868500</v>
      </c>
      <c r="M27" s="57" t="str">
        <f t="shared" ca="1" si="6"/>
        <v/>
      </c>
      <c r="N27" s="57">
        <f t="shared" ca="1" si="7"/>
        <v>868500</v>
      </c>
    </row>
    <row r="28" spans="1:14">
      <c r="A28" s="105">
        <v>28</v>
      </c>
      <c r="B28" s="105" t="str">
        <f ca="1">VLOOKUP( $A28, Aop!$A$2:$P$456, 2, 0)</f>
        <v>BSa</v>
      </c>
      <c r="C28" s="105">
        <f t="shared" ca="1" si="0"/>
        <v>2</v>
      </c>
      <c r="D28" s="105" t="str">
        <f t="shared" ca="1" si="1"/>
        <v>01111329</v>
      </c>
      <c r="E28" s="105" t="str">
        <f t="shared" ca="1" si="8"/>
        <v>4400692320002</v>
      </c>
      <c r="F28" s="105" t="b">
        <f t="shared" ca="1" si="2"/>
        <v>0</v>
      </c>
      <c r="G28" s="140">
        <f t="shared" ca="1" si="3"/>
        <v>44742</v>
      </c>
      <c r="H28" s="105">
        <f ca="1">VLOOKUP( $A28, Aop!$A$2:$P$456, 4, 0)</f>
        <v>28</v>
      </c>
      <c r="I28" s="105">
        <f t="shared" ca="1" si="4"/>
        <v>2022</v>
      </c>
      <c r="J28" s="105"/>
      <c r="K28" s="57" t="str">
        <f t="shared" ca="1" si="9"/>
        <v/>
      </c>
      <c r="L28" s="57" t="str">
        <f t="shared" ca="1" si="5"/>
        <v/>
      </c>
      <c r="M28" s="57" t="str">
        <f t="shared" ca="1" si="6"/>
        <v/>
      </c>
      <c r="N28" s="57">
        <f t="shared" ca="1" si="7"/>
        <v>0</v>
      </c>
    </row>
    <row r="29" spans="1:14">
      <c r="A29" s="105">
        <v>29</v>
      </c>
      <c r="B29" s="105" t="str">
        <f ca="1">VLOOKUP( $A29, Aop!$A$2:$P$456, 2, 0)</f>
        <v>BSa</v>
      </c>
      <c r="C29" s="105">
        <f t="shared" ca="1" si="0"/>
        <v>2</v>
      </c>
      <c r="D29" s="105" t="str">
        <f t="shared" ca="1" si="1"/>
        <v>01111329</v>
      </c>
      <c r="E29" s="105" t="str">
        <f t="shared" ca="1" si="8"/>
        <v>4400692320002</v>
      </c>
      <c r="F29" s="105" t="b">
        <f t="shared" ca="1" si="2"/>
        <v>0</v>
      </c>
      <c r="G29" s="140">
        <f t="shared" ca="1" si="3"/>
        <v>44742</v>
      </c>
      <c r="H29" s="105">
        <f ca="1">VLOOKUP( $A29, Aop!$A$2:$P$456, 4, 0)</f>
        <v>29</v>
      </c>
      <c r="I29" s="105">
        <f t="shared" ca="1" si="4"/>
        <v>2022</v>
      </c>
      <c r="J29" s="105"/>
      <c r="K29" s="57" t="str">
        <f t="shared" ca="1" si="9"/>
        <v/>
      </c>
      <c r="L29" s="57" t="str">
        <f t="shared" ca="1" si="5"/>
        <v/>
      </c>
      <c r="M29" s="57" t="str">
        <f t="shared" ca="1" si="6"/>
        <v/>
      </c>
      <c r="N29" s="57">
        <f t="shared" ca="1" si="7"/>
        <v>0</v>
      </c>
    </row>
    <row r="30" spans="1:14">
      <c r="A30" s="105">
        <v>30</v>
      </c>
      <c r="B30" s="105" t="str">
        <f ca="1">VLOOKUP( $A30, Aop!$A$2:$P$456, 2, 0)</f>
        <v>BSa</v>
      </c>
      <c r="C30" s="105">
        <f t="shared" ca="1" si="0"/>
        <v>2</v>
      </c>
      <c r="D30" s="105" t="str">
        <f t="shared" ca="1" si="1"/>
        <v>01111329</v>
      </c>
      <c r="E30" s="105" t="str">
        <f t="shared" ca="1" si="8"/>
        <v>4400692320002</v>
      </c>
      <c r="F30" s="105" t="b">
        <f t="shared" ca="1" si="2"/>
        <v>0</v>
      </c>
      <c r="G30" s="140">
        <f t="shared" ca="1" si="3"/>
        <v>44742</v>
      </c>
      <c r="H30" s="105">
        <f ca="1">VLOOKUP( $A30, Aop!$A$2:$P$456, 4, 0)</f>
        <v>30</v>
      </c>
      <c r="I30" s="105">
        <f t="shared" ca="1" si="4"/>
        <v>2022</v>
      </c>
      <c r="J30" s="105"/>
      <c r="K30" s="57" t="str">
        <f t="shared" ca="1" si="9"/>
        <v/>
      </c>
      <c r="L30" s="57">
        <f t="shared" ca="1" si="5"/>
        <v>200000</v>
      </c>
      <c r="M30" s="57">
        <f t="shared" ca="1" si="6"/>
        <v>0</v>
      </c>
      <c r="N30" s="57">
        <f t="shared" ca="1" si="7"/>
        <v>200000</v>
      </c>
    </row>
    <row r="31" spans="1:14">
      <c r="A31" s="105">
        <v>31</v>
      </c>
      <c r="B31" s="105" t="str">
        <f ca="1">VLOOKUP( $A31, Aop!$A$2:$P$456, 2, 0)</f>
        <v>BSa</v>
      </c>
      <c r="C31" s="105">
        <f t="shared" ca="1" si="0"/>
        <v>2</v>
      </c>
      <c r="D31" s="105" t="str">
        <f t="shared" ca="1" si="1"/>
        <v>01111329</v>
      </c>
      <c r="E31" s="105" t="str">
        <f t="shared" ca="1" si="8"/>
        <v>4400692320002</v>
      </c>
      <c r="F31" s="105" t="b">
        <f t="shared" ca="1" si="2"/>
        <v>0</v>
      </c>
      <c r="G31" s="140">
        <f t="shared" ca="1" si="3"/>
        <v>44742</v>
      </c>
      <c r="H31" s="105">
        <f ca="1">VLOOKUP( $A31, Aop!$A$2:$P$456, 4, 0)</f>
        <v>31</v>
      </c>
      <c r="I31" s="105">
        <f t="shared" ca="1" si="4"/>
        <v>2022</v>
      </c>
      <c r="J31" s="105"/>
      <c r="K31" s="57" t="str">
        <f t="shared" ca="1" si="9"/>
        <v/>
      </c>
      <c r="L31" s="57" t="str">
        <f t="shared" ca="1" si="5"/>
        <v/>
      </c>
      <c r="M31" s="57" t="str">
        <f t="shared" ca="1" si="6"/>
        <v/>
      </c>
      <c r="N31" s="57">
        <f t="shared" ca="1" si="7"/>
        <v>0</v>
      </c>
    </row>
    <row r="32" spans="1:14">
      <c r="A32" s="105">
        <v>32</v>
      </c>
      <c r="B32" s="105" t="str">
        <f ca="1">VLOOKUP( $A32, Aop!$A$2:$P$456, 2, 0)</f>
        <v>BSa</v>
      </c>
      <c r="C32" s="105">
        <f t="shared" ca="1" si="0"/>
        <v>2</v>
      </c>
      <c r="D32" s="105" t="str">
        <f t="shared" ca="1" si="1"/>
        <v>01111329</v>
      </c>
      <c r="E32" s="105" t="str">
        <f t="shared" ca="1" si="8"/>
        <v>4400692320002</v>
      </c>
      <c r="F32" s="105" t="b">
        <f t="shared" ca="1" si="2"/>
        <v>0</v>
      </c>
      <c r="G32" s="140">
        <f t="shared" ca="1" si="3"/>
        <v>44742</v>
      </c>
      <c r="H32" s="105">
        <f ca="1">VLOOKUP( $A32, Aop!$A$2:$P$456, 4, 0)</f>
        <v>32</v>
      </c>
      <c r="I32" s="105">
        <f t="shared" ca="1" si="4"/>
        <v>2022</v>
      </c>
      <c r="J32" s="105"/>
      <c r="K32" s="57" t="str">
        <f t="shared" ca="1" si="9"/>
        <v/>
      </c>
      <c r="L32" s="57">
        <f t="shared" ca="1" si="5"/>
        <v>200000</v>
      </c>
      <c r="M32" s="57" t="str">
        <f t="shared" ca="1" si="6"/>
        <v/>
      </c>
      <c r="N32" s="57">
        <f t="shared" ca="1" si="7"/>
        <v>200000</v>
      </c>
    </row>
    <row r="33" spans="1:14">
      <c r="A33" s="105">
        <v>33</v>
      </c>
      <c r="B33" s="105" t="str">
        <f ca="1">VLOOKUP( $A33, Aop!$A$2:$P$456, 2, 0)</f>
        <v>BSa</v>
      </c>
      <c r="C33" s="105">
        <f t="shared" ca="1" si="0"/>
        <v>2</v>
      </c>
      <c r="D33" s="105" t="str">
        <f t="shared" ca="1" si="1"/>
        <v>01111329</v>
      </c>
      <c r="E33" s="105" t="str">
        <f t="shared" ca="1" si="8"/>
        <v>4400692320002</v>
      </c>
      <c r="F33" s="105" t="b">
        <f t="shared" ca="1" si="2"/>
        <v>0</v>
      </c>
      <c r="G33" s="140">
        <f t="shared" ca="1" si="3"/>
        <v>44742</v>
      </c>
      <c r="H33" s="105">
        <f ca="1">VLOOKUP( $A33, Aop!$A$2:$P$456, 4, 0)</f>
        <v>33</v>
      </c>
      <c r="I33" s="105">
        <f t="shared" ca="1" si="4"/>
        <v>2022</v>
      </c>
      <c r="J33" s="105"/>
      <c r="K33" s="57" t="str">
        <f t="shared" ca="1" si="9"/>
        <v/>
      </c>
      <c r="L33" s="57" t="str">
        <f t="shared" ca="1" si="5"/>
        <v/>
      </c>
      <c r="M33" s="57" t="str">
        <f t="shared" ca="1" si="6"/>
        <v/>
      </c>
      <c r="N33" s="57">
        <f t="shared" ca="1" si="7"/>
        <v>0</v>
      </c>
    </row>
    <row r="34" spans="1:14">
      <c r="A34" s="105">
        <v>34</v>
      </c>
      <c r="B34" s="105" t="str">
        <f ca="1">VLOOKUP( $A34, Aop!$A$2:$P$456, 2, 0)</f>
        <v>BSa</v>
      </c>
      <c r="C34" s="105">
        <f t="shared" ca="1" si="0"/>
        <v>2</v>
      </c>
      <c r="D34" s="105" t="str">
        <f t="shared" ca="1" si="1"/>
        <v>01111329</v>
      </c>
      <c r="E34" s="105" t="str">
        <f t="shared" ca="1" si="8"/>
        <v>4400692320002</v>
      </c>
      <c r="F34" s="105" t="b">
        <f t="shared" ca="1" si="2"/>
        <v>0</v>
      </c>
      <c r="G34" s="140">
        <f t="shared" ca="1" si="3"/>
        <v>44742</v>
      </c>
      <c r="H34" s="105">
        <f ca="1">VLOOKUP( $A34, Aop!$A$2:$P$456, 4, 0)</f>
        <v>34</v>
      </c>
      <c r="I34" s="105">
        <f t="shared" ca="1" si="4"/>
        <v>2022</v>
      </c>
      <c r="J34" s="105"/>
      <c r="K34" s="57" t="str">
        <f t="shared" ca="1" si="9"/>
        <v/>
      </c>
      <c r="L34" s="57" t="str">
        <f t="shared" ca="1" si="5"/>
        <v/>
      </c>
      <c r="M34" s="57" t="str">
        <f t="shared" ca="1" si="6"/>
        <v/>
      </c>
      <c r="N34" s="57">
        <f t="shared" ca="1" si="7"/>
        <v>0</v>
      </c>
    </row>
    <row r="35" spans="1:14">
      <c r="A35" s="105">
        <v>35</v>
      </c>
      <c r="B35" s="105" t="str">
        <f ca="1">VLOOKUP( $A35, Aop!$A$2:$P$456, 2, 0)</f>
        <v>BSa</v>
      </c>
      <c r="C35" s="105">
        <f t="shared" ca="1" si="0"/>
        <v>2</v>
      </c>
      <c r="D35" s="105" t="str">
        <f t="shared" ca="1" si="1"/>
        <v>01111329</v>
      </c>
      <c r="E35" s="105" t="str">
        <f t="shared" ca="1" si="8"/>
        <v>4400692320002</v>
      </c>
      <c r="F35" s="105" t="b">
        <f t="shared" ca="1" si="2"/>
        <v>0</v>
      </c>
      <c r="G35" s="140">
        <f t="shared" ca="1" si="3"/>
        <v>44742</v>
      </c>
      <c r="H35" s="105">
        <f ca="1">VLOOKUP( $A35, Aop!$A$2:$P$456, 4, 0)</f>
        <v>35</v>
      </c>
      <c r="I35" s="105">
        <f t="shared" ca="1" si="4"/>
        <v>2022</v>
      </c>
      <c r="J35" s="105"/>
      <c r="K35" s="57" t="str">
        <f t="shared" ca="1" si="9"/>
        <v/>
      </c>
      <c r="L35" s="57" t="str">
        <f t="shared" ca="1" si="5"/>
        <v/>
      </c>
      <c r="M35" s="57" t="str">
        <f t="shared" ca="1" si="6"/>
        <v/>
      </c>
      <c r="N35" s="57">
        <f t="shared" ca="1" si="7"/>
        <v>0</v>
      </c>
    </row>
    <row r="36" spans="1:14">
      <c r="A36" s="105">
        <v>36</v>
      </c>
      <c r="B36" s="105" t="str">
        <f ca="1">VLOOKUP( $A36, Aop!$A$2:$P$456, 2, 0)</f>
        <v>BSa</v>
      </c>
      <c r="C36" s="105">
        <f t="shared" ca="1" si="0"/>
        <v>2</v>
      </c>
      <c r="D36" s="105" t="str">
        <f t="shared" ca="1" si="1"/>
        <v>01111329</v>
      </c>
      <c r="E36" s="105" t="str">
        <f t="shared" ca="1" si="8"/>
        <v>4400692320002</v>
      </c>
      <c r="F36" s="105" t="b">
        <f t="shared" ca="1" si="2"/>
        <v>0</v>
      </c>
      <c r="G36" s="140">
        <f t="shared" ca="1" si="3"/>
        <v>44742</v>
      </c>
      <c r="H36" s="105">
        <f ca="1">VLOOKUP( $A36, Aop!$A$2:$P$456, 4, 0)</f>
        <v>36</v>
      </c>
      <c r="I36" s="105">
        <f t="shared" ca="1" si="4"/>
        <v>2022</v>
      </c>
      <c r="J36" s="105"/>
      <c r="K36" s="57" t="str">
        <f t="shared" ca="1" si="9"/>
        <v/>
      </c>
      <c r="L36" s="57">
        <f t="shared" ca="1" si="5"/>
        <v>19252652</v>
      </c>
      <c r="M36" s="57">
        <f t="shared" ca="1" si="6"/>
        <v>0</v>
      </c>
      <c r="N36" s="57">
        <f t="shared" ca="1" si="7"/>
        <v>19252652</v>
      </c>
    </row>
    <row r="37" spans="1:14">
      <c r="A37" s="105">
        <v>37</v>
      </c>
      <c r="B37" s="105" t="str">
        <f ca="1">VLOOKUP( $A37, Aop!$A$2:$P$456, 2, 0)</f>
        <v>BSa</v>
      </c>
      <c r="C37" s="105">
        <f t="shared" ca="1" si="0"/>
        <v>2</v>
      </c>
      <c r="D37" s="105" t="str">
        <f t="shared" ca="1" si="1"/>
        <v>01111329</v>
      </c>
      <c r="E37" s="105" t="str">
        <f t="shared" ca="1" si="8"/>
        <v>4400692320002</v>
      </c>
      <c r="F37" s="105" t="b">
        <f t="shared" ca="1" si="2"/>
        <v>0</v>
      </c>
      <c r="G37" s="140">
        <f t="shared" ca="1" si="3"/>
        <v>44742</v>
      </c>
      <c r="H37" s="105">
        <f ca="1">VLOOKUP( $A37, Aop!$A$2:$P$456, 4, 0)</f>
        <v>37</v>
      </c>
      <c r="I37" s="105">
        <f t="shared" ca="1" si="4"/>
        <v>2022</v>
      </c>
      <c r="J37" s="105"/>
      <c r="K37" s="57" t="str">
        <f t="shared" ca="1" si="9"/>
        <v/>
      </c>
      <c r="L37" s="57">
        <f t="shared" ca="1" si="5"/>
        <v>216586</v>
      </c>
      <c r="M37" s="57">
        <f t="shared" ca="1" si="6"/>
        <v>0</v>
      </c>
      <c r="N37" s="57">
        <f t="shared" ca="1" si="7"/>
        <v>216586</v>
      </c>
    </row>
    <row r="38" spans="1:14">
      <c r="A38" s="105">
        <v>38</v>
      </c>
      <c r="B38" s="105" t="str">
        <f ca="1">VLOOKUP( $A38, Aop!$A$2:$P$456, 2, 0)</f>
        <v>BSa</v>
      </c>
      <c r="C38" s="105">
        <f t="shared" ca="1" si="0"/>
        <v>2</v>
      </c>
      <c r="D38" s="105" t="str">
        <f t="shared" ca="1" si="1"/>
        <v>01111329</v>
      </c>
      <c r="E38" s="105" t="str">
        <f t="shared" ca="1" si="8"/>
        <v>4400692320002</v>
      </c>
      <c r="F38" s="105" t="b">
        <f t="shared" ca="1" si="2"/>
        <v>0</v>
      </c>
      <c r="G38" s="140">
        <f t="shared" ca="1" si="3"/>
        <v>44742</v>
      </c>
      <c r="H38" s="105">
        <f ca="1">VLOOKUP( $A38, Aop!$A$2:$P$456, 4, 0)</f>
        <v>38</v>
      </c>
      <c r="I38" s="105">
        <f t="shared" ca="1" si="4"/>
        <v>2022</v>
      </c>
      <c r="J38" s="105"/>
      <c r="K38" s="57" t="str">
        <f t="shared" ca="1" si="9"/>
        <v/>
      </c>
      <c r="L38" s="57" t="str">
        <f t="shared" ca="1" si="5"/>
        <v/>
      </c>
      <c r="M38" s="57" t="str">
        <f t="shared" ca="1" si="6"/>
        <v/>
      </c>
      <c r="N38" s="57">
        <f t="shared" ca="1" si="7"/>
        <v>0</v>
      </c>
    </row>
    <row r="39" spans="1:14">
      <c r="A39" s="105">
        <v>39</v>
      </c>
      <c r="B39" s="105" t="str">
        <f ca="1">VLOOKUP( $A39, Aop!$A$2:$P$456, 2, 0)</f>
        <v>BSa</v>
      </c>
      <c r="C39" s="105">
        <f t="shared" ca="1" si="0"/>
        <v>2</v>
      </c>
      <c r="D39" s="105" t="str">
        <f t="shared" ca="1" si="1"/>
        <v>01111329</v>
      </c>
      <c r="E39" s="105" t="str">
        <f t="shared" ca="1" si="8"/>
        <v>4400692320002</v>
      </c>
      <c r="F39" s="105" t="b">
        <f t="shared" ca="1" si="2"/>
        <v>0</v>
      </c>
      <c r="G39" s="140">
        <f t="shared" ca="1" si="3"/>
        <v>44742</v>
      </c>
      <c r="H39" s="105">
        <f ca="1">VLOOKUP( $A39, Aop!$A$2:$P$456, 4, 0)</f>
        <v>39</v>
      </c>
      <c r="I39" s="105">
        <f t="shared" ca="1" si="4"/>
        <v>2022</v>
      </c>
      <c r="J39" s="105"/>
      <c r="K39" s="57" t="str">
        <f t="shared" ca="1" si="9"/>
        <v/>
      </c>
      <c r="L39" s="57" t="str">
        <f t="shared" ca="1" si="5"/>
        <v/>
      </c>
      <c r="M39" s="57" t="str">
        <f t="shared" ca="1" si="6"/>
        <v/>
      </c>
      <c r="N39" s="57">
        <f t="shared" ca="1" si="7"/>
        <v>0</v>
      </c>
    </row>
    <row r="40" spans="1:14">
      <c r="A40" s="105">
        <v>40</v>
      </c>
      <c r="B40" s="105" t="str">
        <f ca="1">VLOOKUP( $A40, Aop!$A$2:$P$456, 2, 0)</f>
        <v>BSa</v>
      </c>
      <c r="C40" s="105">
        <f t="shared" ca="1" si="0"/>
        <v>2</v>
      </c>
      <c r="D40" s="105" t="str">
        <f t="shared" ca="1" si="1"/>
        <v>01111329</v>
      </c>
      <c r="E40" s="105" t="str">
        <f t="shared" ca="1" si="8"/>
        <v>4400692320002</v>
      </c>
      <c r="F40" s="105" t="b">
        <f t="shared" ca="1" si="2"/>
        <v>0</v>
      </c>
      <c r="G40" s="140">
        <f t="shared" ca="1" si="3"/>
        <v>44742</v>
      </c>
      <c r="H40" s="105">
        <f ca="1">VLOOKUP( $A40, Aop!$A$2:$P$456, 4, 0)</f>
        <v>40</v>
      </c>
      <c r="I40" s="105">
        <f t="shared" ca="1" si="4"/>
        <v>2022</v>
      </c>
      <c r="J40" s="105"/>
      <c r="K40" s="57" t="str">
        <f t="shared" ca="1" si="9"/>
        <v/>
      </c>
      <c r="L40" s="57">
        <f t="shared" ca="1" si="5"/>
        <v>92854</v>
      </c>
      <c r="M40" s="57" t="str">
        <f t="shared" ca="1" si="6"/>
        <v/>
      </c>
      <c r="N40" s="57">
        <f t="shared" ca="1" si="7"/>
        <v>92854</v>
      </c>
    </row>
    <row r="41" spans="1:14">
      <c r="A41" s="105">
        <v>41</v>
      </c>
      <c r="B41" s="105" t="str">
        <f ca="1">VLOOKUP( $A41, Aop!$A$2:$P$456, 2, 0)</f>
        <v>BSa</v>
      </c>
      <c r="C41" s="105">
        <f t="shared" ca="1" si="0"/>
        <v>2</v>
      </c>
      <c r="D41" s="105" t="str">
        <f t="shared" ca="1" si="1"/>
        <v>01111329</v>
      </c>
      <c r="E41" s="105" t="str">
        <f t="shared" ca="1" si="8"/>
        <v>4400692320002</v>
      </c>
      <c r="F41" s="105" t="b">
        <f t="shared" ca="1" si="2"/>
        <v>0</v>
      </c>
      <c r="G41" s="140">
        <f t="shared" ca="1" si="3"/>
        <v>44742</v>
      </c>
      <c r="H41" s="105">
        <f ca="1">VLOOKUP( $A41, Aop!$A$2:$P$456, 4, 0)</f>
        <v>41</v>
      </c>
      <c r="I41" s="105">
        <f t="shared" ca="1" si="4"/>
        <v>2022</v>
      </c>
      <c r="J41" s="105"/>
      <c r="K41" s="57" t="str">
        <f t="shared" ca="1" si="9"/>
        <v/>
      </c>
      <c r="L41" s="57">
        <f t="shared" ca="1" si="5"/>
        <v>112173</v>
      </c>
      <c r="M41" s="57" t="str">
        <f t="shared" ca="1" si="6"/>
        <v/>
      </c>
      <c r="N41" s="57">
        <f t="shared" ca="1" si="7"/>
        <v>112173</v>
      </c>
    </row>
    <row r="42" spans="1:14">
      <c r="A42" s="105">
        <v>42</v>
      </c>
      <c r="B42" s="105" t="str">
        <f ca="1">VLOOKUP( $A42, Aop!$A$2:$P$456, 2, 0)</f>
        <v>BSa</v>
      </c>
      <c r="C42" s="105">
        <f t="shared" ca="1" si="0"/>
        <v>2</v>
      </c>
      <c r="D42" s="105" t="str">
        <f t="shared" ca="1" si="1"/>
        <v>01111329</v>
      </c>
      <c r="E42" s="105" t="str">
        <f t="shared" ca="1" si="8"/>
        <v>4400692320002</v>
      </c>
      <c r="F42" s="105" t="b">
        <f t="shared" ca="1" si="2"/>
        <v>0</v>
      </c>
      <c r="G42" s="140">
        <f t="shared" ca="1" si="3"/>
        <v>44742</v>
      </c>
      <c r="H42" s="105">
        <f ca="1">VLOOKUP( $A42, Aop!$A$2:$P$456, 4, 0)</f>
        <v>42</v>
      </c>
      <c r="I42" s="105">
        <f t="shared" ca="1" si="4"/>
        <v>2022</v>
      </c>
      <c r="J42" s="105"/>
      <c r="K42" s="57" t="str">
        <f t="shared" ca="1" si="9"/>
        <v/>
      </c>
      <c r="L42" s="57" t="str">
        <f t="shared" ca="1" si="5"/>
        <v/>
      </c>
      <c r="M42" s="57" t="str">
        <f t="shared" ca="1" si="6"/>
        <v/>
      </c>
      <c r="N42" s="57">
        <f t="shared" ca="1" si="7"/>
        <v>0</v>
      </c>
    </row>
    <row r="43" spans="1:14">
      <c r="A43" s="105">
        <v>43</v>
      </c>
      <c r="B43" s="105" t="str">
        <f ca="1">VLOOKUP( $A43, Aop!$A$2:$P$456, 2, 0)</f>
        <v>BSa</v>
      </c>
      <c r="C43" s="105">
        <f t="shared" ca="1" si="0"/>
        <v>2</v>
      </c>
      <c r="D43" s="105" t="str">
        <f t="shared" ca="1" si="1"/>
        <v>01111329</v>
      </c>
      <c r="E43" s="105" t="str">
        <f t="shared" ca="1" si="8"/>
        <v>4400692320002</v>
      </c>
      <c r="F43" s="105" t="b">
        <f t="shared" ca="1" si="2"/>
        <v>0</v>
      </c>
      <c r="G43" s="140">
        <f t="shared" ca="1" si="3"/>
        <v>44742</v>
      </c>
      <c r="H43" s="105">
        <f ca="1">VLOOKUP( $A43, Aop!$A$2:$P$456, 4, 0)</f>
        <v>43</v>
      </c>
      <c r="I43" s="105">
        <f t="shared" ca="1" si="4"/>
        <v>2022</v>
      </c>
      <c r="J43" s="105"/>
      <c r="K43" s="57" t="str">
        <f t="shared" ca="1" si="9"/>
        <v/>
      </c>
      <c r="L43" s="57">
        <f t="shared" ca="1" si="5"/>
        <v>11559</v>
      </c>
      <c r="M43" s="57" t="str">
        <f t="shared" ca="1" si="6"/>
        <v/>
      </c>
      <c r="N43" s="57">
        <f t="shared" ca="1" si="7"/>
        <v>11559</v>
      </c>
    </row>
    <row r="44" spans="1:14">
      <c r="A44" s="105">
        <v>44</v>
      </c>
      <c r="B44" s="105" t="str">
        <f ca="1">VLOOKUP( $A44, Aop!$A$2:$P$456, 2, 0)</f>
        <v>BSa</v>
      </c>
      <c r="C44" s="105">
        <f t="shared" ca="1" si="0"/>
        <v>2</v>
      </c>
      <c r="D44" s="105" t="str">
        <f t="shared" ca="1" si="1"/>
        <v>01111329</v>
      </c>
      <c r="E44" s="105" t="str">
        <f t="shared" ca="1" si="8"/>
        <v>4400692320002</v>
      </c>
      <c r="F44" s="105" t="b">
        <f t="shared" ca="1" si="2"/>
        <v>0</v>
      </c>
      <c r="G44" s="140">
        <f t="shared" ca="1" si="3"/>
        <v>44742</v>
      </c>
      <c r="H44" s="105">
        <f ca="1">VLOOKUP( $A44, Aop!$A$2:$P$456, 4, 0)</f>
        <v>44</v>
      </c>
      <c r="I44" s="105">
        <f t="shared" ca="1" si="4"/>
        <v>2022</v>
      </c>
      <c r="J44" s="105"/>
      <c r="K44" s="57" t="str">
        <f t="shared" ca="1" si="9"/>
        <v/>
      </c>
      <c r="L44" s="57">
        <f t="shared" ca="1" si="5"/>
        <v>19036066</v>
      </c>
      <c r="M44" s="57">
        <f t="shared" ca="1" si="6"/>
        <v>0</v>
      </c>
      <c r="N44" s="57">
        <f t="shared" ca="1" si="7"/>
        <v>19036066</v>
      </c>
    </row>
    <row r="45" spans="1:14">
      <c r="A45" s="105">
        <v>45</v>
      </c>
      <c r="B45" s="105" t="str">
        <f ca="1">VLOOKUP( $A45, Aop!$A$2:$P$456, 2, 0)</f>
        <v>BSa</v>
      </c>
      <c r="C45" s="105">
        <f t="shared" ca="1" si="0"/>
        <v>2</v>
      </c>
      <c r="D45" s="105" t="str">
        <f t="shared" ca="1" si="1"/>
        <v>01111329</v>
      </c>
      <c r="E45" s="105" t="str">
        <f t="shared" ca="1" si="8"/>
        <v>4400692320002</v>
      </c>
      <c r="F45" s="105" t="b">
        <f t="shared" ca="1" si="2"/>
        <v>0</v>
      </c>
      <c r="G45" s="140">
        <f t="shared" ca="1" si="3"/>
        <v>44742</v>
      </c>
      <c r="H45" s="105">
        <f ca="1">VLOOKUP( $A45, Aop!$A$2:$P$456, 4, 0)</f>
        <v>45</v>
      </c>
      <c r="I45" s="105">
        <f t="shared" ca="1" si="4"/>
        <v>2022</v>
      </c>
      <c r="J45" s="105"/>
      <c r="K45" s="57" t="str">
        <f t="shared" ca="1" si="9"/>
        <v/>
      </c>
      <c r="L45" s="57">
        <f t="shared" ca="1" si="5"/>
        <v>336017</v>
      </c>
      <c r="M45" s="57">
        <f t="shared" ca="1" si="6"/>
        <v>0</v>
      </c>
      <c r="N45" s="57">
        <f t="shared" ca="1" si="7"/>
        <v>336017</v>
      </c>
    </row>
    <row r="46" spans="1:14">
      <c r="A46" s="105">
        <v>46</v>
      </c>
      <c r="B46" s="105" t="str">
        <f ca="1">VLOOKUP( $A46, Aop!$A$2:$P$456, 2, 0)</f>
        <v>BSa</v>
      </c>
      <c r="C46" s="105">
        <f t="shared" ca="1" si="0"/>
        <v>2</v>
      </c>
      <c r="D46" s="105" t="str">
        <f t="shared" ca="1" si="1"/>
        <v>01111329</v>
      </c>
      <c r="E46" s="105" t="str">
        <f t="shared" ca="1" si="8"/>
        <v>4400692320002</v>
      </c>
      <c r="F46" s="105" t="b">
        <f t="shared" ca="1" si="2"/>
        <v>0</v>
      </c>
      <c r="G46" s="140">
        <f t="shared" ca="1" si="3"/>
        <v>44742</v>
      </c>
      <c r="H46" s="105">
        <f ca="1">VLOOKUP( $A46, Aop!$A$2:$P$456, 4, 0)</f>
        <v>46</v>
      </c>
      <c r="I46" s="105">
        <f t="shared" ca="1" si="4"/>
        <v>2022</v>
      </c>
      <c r="J46" s="105"/>
      <c r="K46" s="57" t="str">
        <f t="shared" ca="1" si="9"/>
        <v/>
      </c>
      <c r="L46" s="57">
        <f t="shared" ca="1" si="5"/>
        <v>140687</v>
      </c>
      <c r="M46" s="57" t="str">
        <f t="shared" ca="1" si="6"/>
        <v/>
      </c>
      <c r="N46" s="57">
        <f t="shared" ca="1" si="7"/>
        <v>140687</v>
      </c>
    </row>
    <row r="47" spans="1:14">
      <c r="A47" s="105">
        <v>47</v>
      </c>
      <c r="B47" s="105" t="str">
        <f ca="1">VLOOKUP( $A47, Aop!$A$2:$P$456, 2, 0)</f>
        <v>BSa</v>
      </c>
      <c r="C47" s="105">
        <f t="shared" ca="1" si="0"/>
        <v>2</v>
      </c>
      <c r="D47" s="105" t="str">
        <f t="shared" ca="1" si="1"/>
        <v>01111329</v>
      </c>
      <c r="E47" s="105" t="str">
        <f t="shared" ca="1" si="8"/>
        <v>4400692320002</v>
      </c>
      <c r="F47" s="105" t="b">
        <f t="shared" ca="1" si="2"/>
        <v>0</v>
      </c>
      <c r="G47" s="140">
        <f t="shared" ca="1" si="3"/>
        <v>44742</v>
      </c>
      <c r="H47" s="105">
        <f ca="1">VLOOKUP( $A47, Aop!$A$2:$P$456, 4, 0)</f>
        <v>47</v>
      </c>
      <c r="I47" s="105">
        <f t="shared" ca="1" si="4"/>
        <v>2022</v>
      </c>
      <c r="J47" s="105"/>
      <c r="K47" s="57" t="str">
        <f t="shared" ca="1" si="9"/>
        <v/>
      </c>
      <c r="L47" s="57">
        <f t="shared" ca="1" si="5"/>
        <v>187234</v>
      </c>
      <c r="M47" s="57" t="str">
        <f t="shared" ca="1" si="6"/>
        <v/>
      </c>
      <c r="N47" s="57">
        <f t="shared" ca="1" si="7"/>
        <v>187234</v>
      </c>
    </row>
    <row r="48" spans="1:14">
      <c r="A48" s="105">
        <v>48</v>
      </c>
      <c r="B48" s="105" t="str">
        <f ca="1">VLOOKUP( $A48, Aop!$A$2:$P$456, 2, 0)</f>
        <v>BSa</v>
      </c>
      <c r="C48" s="105">
        <f t="shared" ca="1" si="0"/>
        <v>2</v>
      </c>
      <c r="D48" s="105" t="str">
        <f t="shared" ca="1" si="1"/>
        <v>01111329</v>
      </c>
      <c r="E48" s="105" t="str">
        <f t="shared" ca="1" si="8"/>
        <v>4400692320002</v>
      </c>
      <c r="F48" s="105" t="b">
        <f t="shared" ca="1" si="2"/>
        <v>0</v>
      </c>
      <c r="G48" s="140">
        <f t="shared" ca="1" si="3"/>
        <v>44742</v>
      </c>
      <c r="H48" s="105">
        <f ca="1">VLOOKUP( $A48, Aop!$A$2:$P$456, 4, 0)</f>
        <v>48</v>
      </c>
      <c r="I48" s="105">
        <f t="shared" ca="1" si="4"/>
        <v>2022</v>
      </c>
      <c r="J48" s="105"/>
      <c r="K48" s="57" t="str">
        <f t="shared" ca="1" si="9"/>
        <v/>
      </c>
      <c r="L48" s="57" t="str">
        <f t="shared" ca="1" si="5"/>
        <v/>
      </c>
      <c r="M48" s="57" t="str">
        <f t="shared" ca="1" si="6"/>
        <v/>
      </c>
      <c r="N48" s="57">
        <f t="shared" ca="1" si="7"/>
        <v>0</v>
      </c>
    </row>
    <row r="49" spans="1:14">
      <c r="A49" s="105">
        <v>49</v>
      </c>
      <c r="B49" s="105" t="str">
        <f ca="1">VLOOKUP( $A49, Aop!$A$2:$P$456, 2, 0)</f>
        <v>BSa</v>
      </c>
      <c r="C49" s="105">
        <f t="shared" ca="1" si="0"/>
        <v>2</v>
      </c>
      <c r="D49" s="105" t="str">
        <f t="shared" ca="1" si="1"/>
        <v>01111329</v>
      </c>
      <c r="E49" s="105" t="str">
        <f t="shared" ca="1" si="8"/>
        <v>4400692320002</v>
      </c>
      <c r="F49" s="105" t="b">
        <f t="shared" ca="1" si="2"/>
        <v>0</v>
      </c>
      <c r="G49" s="140">
        <f t="shared" ca="1" si="3"/>
        <v>44742</v>
      </c>
      <c r="H49" s="105">
        <f ca="1">VLOOKUP( $A49, Aop!$A$2:$P$456, 4, 0)</f>
        <v>49</v>
      </c>
      <c r="I49" s="105">
        <f t="shared" ca="1" si="4"/>
        <v>2022</v>
      </c>
      <c r="J49" s="105"/>
      <c r="K49" s="57" t="str">
        <f t="shared" ca="1" si="9"/>
        <v/>
      </c>
      <c r="L49" s="57" t="str">
        <f t="shared" ca="1" si="5"/>
        <v/>
      </c>
      <c r="M49" s="57" t="str">
        <f t="shared" ca="1" si="6"/>
        <v/>
      </c>
      <c r="N49" s="57">
        <f t="shared" ca="1" si="7"/>
        <v>0</v>
      </c>
    </row>
    <row r="50" spans="1:14">
      <c r="A50" s="105">
        <v>50</v>
      </c>
      <c r="B50" s="105" t="str">
        <f ca="1">VLOOKUP( $A50, Aop!$A$2:$P$456, 2, 0)</f>
        <v>BSa</v>
      </c>
      <c r="C50" s="105">
        <f t="shared" ca="1" si="0"/>
        <v>2</v>
      </c>
      <c r="D50" s="105" t="str">
        <f t="shared" ca="1" si="1"/>
        <v>01111329</v>
      </c>
      <c r="E50" s="105" t="str">
        <f t="shared" ca="1" si="8"/>
        <v>4400692320002</v>
      </c>
      <c r="F50" s="105" t="b">
        <f t="shared" ca="1" si="2"/>
        <v>0</v>
      </c>
      <c r="G50" s="140">
        <f t="shared" ca="1" si="3"/>
        <v>44742</v>
      </c>
      <c r="H50" s="105">
        <f ca="1">VLOOKUP( $A50, Aop!$A$2:$P$456, 4, 0)</f>
        <v>50</v>
      </c>
      <c r="I50" s="105">
        <f t="shared" ca="1" si="4"/>
        <v>2022</v>
      </c>
      <c r="J50" s="105"/>
      <c r="K50" s="57" t="str">
        <f t="shared" ca="1" si="9"/>
        <v/>
      </c>
      <c r="L50" s="57">
        <f t="shared" ca="1" si="5"/>
        <v>8096</v>
      </c>
      <c r="M50" s="57" t="str">
        <f t="shared" ca="1" si="6"/>
        <v/>
      </c>
      <c r="N50" s="57">
        <f t="shared" ca="1" si="7"/>
        <v>8096</v>
      </c>
    </row>
    <row r="51" spans="1:14">
      <c r="A51" s="105">
        <v>51</v>
      </c>
      <c r="B51" s="105" t="str">
        <f ca="1">VLOOKUP( $A51, Aop!$A$2:$P$456, 2, 0)</f>
        <v>BSa</v>
      </c>
      <c r="C51" s="105">
        <f t="shared" ca="1" si="0"/>
        <v>2</v>
      </c>
      <c r="D51" s="105" t="str">
        <f t="shared" ca="1" si="1"/>
        <v>01111329</v>
      </c>
      <c r="E51" s="105" t="str">
        <f t="shared" ca="1" si="8"/>
        <v>4400692320002</v>
      </c>
      <c r="F51" s="105" t="b">
        <f t="shared" ca="1" si="2"/>
        <v>0</v>
      </c>
      <c r="G51" s="140">
        <f t="shared" ca="1" si="3"/>
        <v>44742</v>
      </c>
      <c r="H51" s="105">
        <f ca="1">VLOOKUP( $A51, Aop!$A$2:$P$456, 4, 0)</f>
        <v>51</v>
      </c>
      <c r="I51" s="105">
        <f t="shared" ca="1" si="4"/>
        <v>2022</v>
      </c>
      <c r="J51" s="105"/>
      <c r="K51" s="57" t="str">
        <f t="shared" ca="1" si="9"/>
        <v/>
      </c>
      <c r="L51" s="57" t="str">
        <f t="shared" ca="1" si="5"/>
        <v/>
      </c>
      <c r="M51" s="57" t="str">
        <f t="shared" ca="1" si="6"/>
        <v/>
      </c>
      <c r="N51" s="57">
        <f t="shared" ca="1" si="7"/>
        <v>0</v>
      </c>
    </row>
    <row r="52" spans="1:14">
      <c r="A52" s="105">
        <v>52</v>
      </c>
      <c r="B52" s="105" t="str">
        <f ca="1">VLOOKUP( $A52, Aop!$A$2:$P$456, 2, 0)</f>
        <v>BSa</v>
      </c>
      <c r="C52" s="105">
        <f t="shared" ca="1" si="0"/>
        <v>2</v>
      </c>
      <c r="D52" s="105" t="str">
        <f t="shared" ca="1" si="1"/>
        <v>01111329</v>
      </c>
      <c r="E52" s="105" t="str">
        <f t="shared" ca="1" si="8"/>
        <v>4400692320002</v>
      </c>
      <c r="F52" s="105" t="b">
        <f t="shared" ca="1" si="2"/>
        <v>0</v>
      </c>
      <c r="G52" s="140">
        <f t="shared" ca="1" si="3"/>
        <v>44742</v>
      </c>
      <c r="H52" s="105">
        <f ca="1">VLOOKUP( $A52, Aop!$A$2:$P$456, 4, 0)</f>
        <v>52</v>
      </c>
      <c r="I52" s="105">
        <f t="shared" ca="1" si="4"/>
        <v>2022</v>
      </c>
      <c r="J52" s="105"/>
      <c r="K52" s="57" t="str">
        <f t="shared" ca="1" si="9"/>
        <v/>
      </c>
      <c r="L52" s="57">
        <f t="shared" ca="1" si="5"/>
        <v>0</v>
      </c>
      <c r="M52" s="57">
        <f t="shared" ca="1" si="6"/>
        <v>0</v>
      </c>
      <c r="N52" s="57">
        <f t="shared" ca="1" si="7"/>
        <v>0</v>
      </c>
    </row>
    <row r="53" spans="1:14">
      <c r="A53" s="105">
        <v>53</v>
      </c>
      <c r="B53" s="105" t="str">
        <f ca="1">VLOOKUP( $A53, Aop!$A$2:$P$456, 2, 0)</f>
        <v>BSa</v>
      </c>
      <c r="C53" s="105">
        <f t="shared" ca="1" si="0"/>
        <v>2</v>
      </c>
      <c r="D53" s="105" t="str">
        <f t="shared" ca="1" si="1"/>
        <v>01111329</v>
      </c>
      <c r="E53" s="105" t="str">
        <f t="shared" ca="1" si="8"/>
        <v>4400692320002</v>
      </c>
      <c r="F53" s="105" t="b">
        <f t="shared" ca="1" si="2"/>
        <v>0</v>
      </c>
      <c r="G53" s="140">
        <f t="shared" ca="1" si="3"/>
        <v>44742</v>
      </c>
      <c r="H53" s="105">
        <f ca="1">VLOOKUP( $A53, Aop!$A$2:$P$456, 4, 0)</f>
        <v>53</v>
      </c>
      <c r="I53" s="105">
        <f t="shared" ca="1" si="4"/>
        <v>2022</v>
      </c>
      <c r="J53" s="105"/>
      <c r="K53" s="57" t="str">
        <f t="shared" ca="1" si="9"/>
        <v/>
      </c>
      <c r="L53" s="57">
        <f t="shared" ca="1" si="5"/>
        <v>0</v>
      </c>
      <c r="M53" s="57">
        <f t="shared" ca="1" si="6"/>
        <v>0</v>
      </c>
      <c r="N53" s="57">
        <f t="shared" ca="1" si="7"/>
        <v>0</v>
      </c>
    </row>
    <row r="54" spans="1:14">
      <c r="A54" s="105">
        <v>54</v>
      </c>
      <c r="B54" s="105" t="str">
        <f ca="1">VLOOKUP( $A54, Aop!$A$2:$P$456, 2, 0)</f>
        <v>BSa</v>
      </c>
      <c r="C54" s="105">
        <f t="shared" ca="1" si="0"/>
        <v>2</v>
      </c>
      <c r="D54" s="105" t="str">
        <f t="shared" ca="1" si="1"/>
        <v>01111329</v>
      </c>
      <c r="E54" s="105" t="str">
        <f t="shared" ca="1" si="8"/>
        <v>4400692320002</v>
      </c>
      <c r="F54" s="105" t="b">
        <f t="shared" ca="1" si="2"/>
        <v>0</v>
      </c>
      <c r="G54" s="140">
        <f t="shared" ca="1" si="3"/>
        <v>44742</v>
      </c>
      <c r="H54" s="105">
        <f ca="1">VLOOKUP( $A54, Aop!$A$2:$P$456, 4, 0)</f>
        <v>54</v>
      </c>
      <c r="I54" s="105">
        <f t="shared" ca="1" si="4"/>
        <v>2022</v>
      </c>
      <c r="J54" s="105"/>
      <c r="K54" s="57" t="str">
        <f t="shared" ca="1" si="9"/>
        <v/>
      </c>
      <c r="L54" s="57" t="str">
        <f t="shared" ca="1" si="5"/>
        <v/>
      </c>
      <c r="M54" s="57" t="str">
        <f t="shared" ca="1" si="6"/>
        <v/>
      </c>
      <c r="N54" s="57">
        <f t="shared" ca="1" si="7"/>
        <v>0</v>
      </c>
    </row>
    <row r="55" spans="1:14">
      <c r="A55" s="105">
        <v>55</v>
      </c>
      <c r="B55" s="105" t="str">
        <f ca="1">VLOOKUP( $A55, Aop!$A$2:$P$456, 2, 0)</f>
        <v>BSa</v>
      </c>
      <c r="C55" s="105">
        <f t="shared" ca="1" si="0"/>
        <v>2</v>
      </c>
      <c r="D55" s="105" t="str">
        <f t="shared" ca="1" si="1"/>
        <v>01111329</v>
      </c>
      <c r="E55" s="105" t="str">
        <f t="shared" ca="1" si="8"/>
        <v>4400692320002</v>
      </c>
      <c r="F55" s="105" t="b">
        <f t="shared" ca="1" si="2"/>
        <v>0</v>
      </c>
      <c r="G55" s="140">
        <f t="shared" ca="1" si="3"/>
        <v>44742</v>
      </c>
      <c r="H55" s="105">
        <f ca="1">VLOOKUP( $A55, Aop!$A$2:$P$456, 4, 0)</f>
        <v>55</v>
      </c>
      <c r="I55" s="105">
        <f t="shared" ca="1" si="4"/>
        <v>2022</v>
      </c>
      <c r="J55" s="105"/>
      <c r="K55" s="57" t="str">
        <f t="shared" ca="1" si="9"/>
        <v/>
      </c>
      <c r="L55" s="57" t="str">
        <f t="shared" ca="1" si="5"/>
        <v/>
      </c>
      <c r="M55" s="57" t="str">
        <f t="shared" ca="1" si="6"/>
        <v/>
      </c>
      <c r="N55" s="57">
        <f t="shared" ca="1" si="7"/>
        <v>0</v>
      </c>
    </row>
    <row r="56" spans="1:14">
      <c r="A56" s="105">
        <v>56</v>
      </c>
      <c r="B56" s="105" t="str">
        <f ca="1">VLOOKUP( $A56, Aop!$A$2:$P$456, 2, 0)</f>
        <v>BSa</v>
      </c>
      <c r="C56" s="105">
        <f t="shared" ca="1" si="0"/>
        <v>2</v>
      </c>
      <c r="D56" s="105" t="str">
        <f t="shared" ca="1" si="1"/>
        <v>01111329</v>
      </c>
      <c r="E56" s="105" t="str">
        <f t="shared" ca="1" si="8"/>
        <v>4400692320002</v>
      </c>
      <c r="F56" s="105" t="b">
        <f t="shared" ca="1" si="2"/>
        <v>0</v>
      </c>
      <c r="G56" s="140">
        <f t="shared" ca="1" si="3"/>
        <v>44742</v>
      </c>
      <c r="H56" s="105">
        <f ca="1">VLOOKUP( $A56, Aop!$A$2:$P$456, 4, 0)</f>
        <v>56</v>
      </c>
      <c r="I56" s="105">
        <f t="shared" ca="1" si="4"/>
        <v>2022</v>
      </c>
      <c r="J56" s="105"/>
      <c r="K56" s="57" t="str">
        <f t="shared" ca="1" si="9"/>
        <v/>
      </c>
      <c r="L56" s="57" t="str">
        <f t="shared" ca="1" si="5"/>
        <v/>
      </c>
      <c r="M56" s="57" t="str">
        <f t="shared" ca="1" si="6"/>
        <v/>
      </c>
      <c r="N56" s="57">
        <f t="shared" ca="1" si="7"/>
        <v>0</v>
      </c>
    </row>
    <row r="57" spans="1:14">
      <c r="A57" s="105">
        <v>57</v>
      </c>
      <c r="B57" s="105" t="str">
        <f ca="1">VLOOKUP( $A57, Aop!$A$2:$P$456, 2, 0)</f>
        <v>BSa</v>
      </c>
      <c r="C57" s="105">
        <f t="shared" ca="1" si="0"/>
        <v>2</v>
      </c>
      <c r="D57" s="105" t="str">
        <f t="shared" ca="1" si="1"/>
        <v>01111329</v>
      </c>
      <c r="E57" s="105" t="str">
        <f t="shared" ca="1" si="8"/>
        <v>4400692320002</v>
      </c>
      <c r="F57" s="105" t="b">
        <f t="shared" ca="1" si="2"/>
        <v>0</v>
      </c>
      <c r="G57" s="140">
        <f t="shared" ca="1" si="3"/>
        <v>44742</v>
      </c>
      <c r="H57" s="105">
        <f ca="1">VLOOKUP( $A57, Aop!$A$2:$P$456, 4, 0)</f>
        <v>57</v>
      </c>
      <c r="I57" s="105">
        <f t="shared" ca="1" si="4"/>
        <v>2022</v>
      </c>
      <c r="J57" s="105"/>
      <c r="K57" s="57" t="str">
        <f t="shared" ca="1" si="9"/>
        <v/>
      </c>
      <c r="L57" s="57" t="str">
        <f t="shared" ca="1" si="5"/>
        <v/>
      </c>
      <c r="M57" s="57" t="str">
        <f t="shared" ca="1" si="6"/>
        <v/>
      </c>
      <c r="N57" s="57">
        <f t="shared" ca="1" si="7"/>
        <v>0</v>
      </c>
    </row>
    <row r="58" spans="1:14">
      <c r="A58" s="105">
        <v>58</v>
      </c>
      <c r="B58" s="105" t="str">
        <f ca="1">VLOOKUP( $A58, Aop!$A$2:$P$456, 2, 0)</f>
        <v>BSa</v>
      </c>
      <c r="C58" s="105">
        <f t="shared" ca="1" si="0"/>
        <v>2</v>
      </c>
      <c r="D58" s="105" t="str">
        <f t="shared" ca="1" si="1"/>
        <v>01111329</v>
      </c>
      <c r="E58" s="105" t="str">
        <f t="shared" ca="1" si="8"/>
        <v>4400692320002</v>
      </c>
      <c r="F58" s="105" t="b">
        <f t="shared" ca="1" si="2"/>
        <v>0</v>
      </c>
      <c r="G58" s="140">
        <f t="shared" ca="1" si="3"/>
        <v>44742</v>
      </c>
      <c r="H58" s="105">
        <f ca="1">VLOOKUP( $A58, Aop!$A$2:$P$456, 4, 0)</f>
        <v>58</v>
      </c>
      <c r="I58" s="105">
        <f t="shared" ca="1" si="4"/>
        <v>2022</v>
      </c>
      <c r="J58" s="105"/>
      <c r="K58" s="57" t="str">
        <f t="shared" ca="1" si="9"/>
        <v/>
      </c>
      <c r="L58" s="57" t="str">
        <f t="shared" ca="1" si="5"/>
        <v/>
      </c>
      <c r="M58" s="57" t="str">
        <f t="shared" ca="1" si="6"/>
        <v/>
      </c>
      <c r="N58" s="57">
        <f t="shared" ca="1" si="7"/>
        <v>0</v>
      </c>
    </row>
    <row r="59" spans="1:14">
      <c r="A59" s="105">
        <v>59</v>
      </c>
      <c r="B59" s="105" t="str">
        <f ca="1">VLOOKUP( $A59, Aop!$A$2:$P$456, 2, 0)</f>
        <v>BSa</v>
      </c>
      <c r="C59" s="105">
        <f t="shared" ca="1" si="0"/>
        <v>2</v>
      </c>
      <c r="D59" s="105" t="str">
        <f t="shared" ca="1" si="1"/>
        <v>01111329</v>
      </c>
      <c r="E59" s="105" t="str">
        <f t="shared" ca="1" si="8"/>
        <v>4400692320002</v>
      </c>
      <c r="F59" s="105" t="b">
        <f t="shared" ca="1" si="2"/>
        <v>0</v>
      </c>
      <c r="G59" s="140">
        <f t="shared" ca="1" si="3"/>
        <v>44742</v>
      </c>
      <c r="H59" s="105">
        <f ca="1">VLOOKUP( $A59, Aop!$A$2:$P$456, 4, 0)</f>
        <v>59</v>
      </c>
      <c r="I59" s="105">
        <f t="shared" ca="1" si="4"/>
        <v>2022</v>
      </c>
      <c r="J59" s="105"/>
      <c r="K59" s="57" t="str">
        <f t="shared" ca="1" si="9"/>
        <v/>
      </c>
      <c r="L59" s="57" t="str">
        <f t="shared" ca="1" si="5"/>
        <v/>
      </c>
      <c r="M59" s="57" t="str">
        <f t="shared" ca="1" si="6"/>
        <v/>
      </c>
      <c r="N59" s="57">
        <f t="shared" ca="1" si="7"/>
        <v>0</v>
      </c>
    </row>
    <row r="60" spans="1:14">
      <c r="A60" s="105">
        <v>60</v>
      </c>
      <c r="B60" s="105" t="str">
        <f ca="1">VLOOKUP( $A60, Aop!$A$2:$P$456, 2, 0)</f>
        <v>BSa</v>
      </c>
      <c r="C60" s="105">
        <f t="shared" ca="1" si="0"/>
        <v>2</v>
      </c>
      <c r="D60" s="105" t="str">
        <f t="shared" ca="1" si="1"/>
        <v>01111329</v>
      </c>
      <c r="E60" s="105" t="str">
        <f t="shared" ca="1" si="8"/>
        <v>4400692320002</v>
      </c>
      <c r="F60" s="105" t="b">
        <f t="shared" ca="1" si="2"/>
        <v>0</v>
      </c>
      <c r="G60" s="140">
        <f t="shared" ca="1" si="3"/>
        <v>44742</v>
      </c>
      <c r="H60" s="105">
        <f ca="1">VLOOKUP( $A60, Aop!$A$2:$P$456, 4, 0)</f>
        <v>60</v>
      </c>
      <c r="I60" s="105">
        <f t="shared" ca="1" si="4"/>
        <v>2022</v>
      </c>
      <c r="J60" s="105"/>
      <c r="K60" s="57" t="str">
        <f t="shared" ca="1" si="9"/>
        <v/>
      </c>
      <c r="L60" s="57" t="str">
        <f t="shared" ca="1" si="5"/>
        <v/>
      </c>
      <c r="M60" s="57" t="str">
        <f t="shared" ca="1" si="6"/>
        <v/>
      </c>
      <c r="N60" s="57">
        <f t="shared" ca="1" si="7"/>
        <v>0</v>
      </c>
    </row>
    <row r="61" spans="1:14">
      <c r="A61" s="105">
        <v>61</v>
      </c>
      <c r="B61" s="105" t="str">
        <f ca="1">VLOOKUP( $A61, Aop!$A$2:$P$456, 2, 0)</f>
        <v>BSa</v>
      </c>
      <c r="C61" s="105">
        <f t="shared" ca="1" si="0"/>
        <v>2</v>
      </c>
      <c r="D61" s="105" t="str">
        <f t="shared" ca="1" si="1"/>
        <v>01111329</v>
      </c>
      <c r="E61" s="105" t="str">
        <f t="shared" ca="1" si="8"/>
        <v>4400692320002</v>
      </c>
      <c r="F61" s="105" t="b">
        <f t="shared" ca="1" si="2"/>
        <v>0</v>
      </c>
      <c r="G61" s="140">
        <f t="shared" ca="1" si="3"/>
        <v>44742</v>
      </c>
      <c r="H61" s="105">
        <f ca="1">VLOOKUP( $A61, Aop!$A$2:$P$456, 4, 0)</f>
        <v>61</v>
      </c>
      <c r="I61" s="105">
        <f t="shared" ca="1" si="4"/>
        <v>2022</v>
      </c>
      <c r="J61" s="105"/>
      <c r="K61" s="57" t="str">
        <f t="shared" ca="1" si="9"/>
        <v/>
      </c>
      <c r="L61" s="57">
        <f t="shared" ca="1" si="5"/>
        <v>18688775</v>
      </c>
      <c r="M61" s="57">
        <f t="shared" ca="1" si="6"/>
        <v>0</v>
      </c>
      <c r="N61" s="57">
        <f t="shared" ca="1" si="7"/>
        <v>18688775</v>
      </c>
    </row>
    <row r="62" spans="1:14">
      <c r="A62" s="105">
        <v>62</v>
      </c>
      <c r="B62" s="105" t="str">
        <f ca="1">VLOOKUP( $A62, Aop!$A$2:$P$456, 2, 0)</f>
        <v>BSa</v>
      </c>
      <c r="C62" s="105">
        <f t="shared" ca="1" si="0"/>
        <v>2</v>
      </c>
      <c r="D62" s="105" t="str">
        <f t="shared" ca="1" si="1"/>
        <v>01111329</v>
      </c>
      <c r="E62" s="105" t="str">
        <f t="shared" ca="1" si="8"/>
        <v>4400692320002</v>
      </c>
      <c r="F62" s="105" t="b">
        <f t="shared" ca="1" si="2"/>
        <v>0</v>
      </c>
      <c r="G62" s="140">
        <f t="shared" ca="1" si="3"/>
        <v>44742</v>
      </c>
      <c r="H62" s="105">
        <f ca="1">VLOOKUP( $A62, Aop!$A$2:$P$456, 4, 0)</f>
        <v>62</v>
      </c>
      <c r="I62" s="105">
        <f t="shared" ca="1" si="4"/>
        <v>2022</v>
      </c>
      <c r="J62" s="105"/>
      <c r="K62" s="57" t="str">
        <f t="shared" ca="1" si="9"/>
        <v/>
      </c>
      <c r="L62" s="57" t="str">
        <f t="shared" ca="1" si="5"/>
        <v/>
      </c>
      <c r="M62" s="57" t="str">
        <f t="shared" ca="1" si="6"/>
        <v/>
      </c>
      <c r="N62" s="57">
        <f t="shared" ca="1" si="7"/>
        <v>0</v>
      </c>
    </row>
    <row r="63" spans="1:14">
      <c r="A63" s="105">
        <v>63</v>
      </c>
      <c r="B63" s="105" t="str">
        <f ca="1">VLOOKUP( $A63, Aop!$A$2:$P$456, 2, 0)</f>
        <v>BSa</v>
      </c>
      <c r="C63" s="105">
        <f t="shared" ca="1" si="0"/>
        <v>2</v>
      </c>
      <c r="D63" s="105" t="str">
        <f t="shared" ca="1" si="1"/>
        <v>01111329</v>
      </c>
      <c r="E63" s="105" t="str">
        <f t="shared" ca="1" si="8"/>
        <v>4400692320002</v>
      </c>
      <c r="F63" s="105" t="b">
        <f t="shared" ca="1" si="2"/>
        <v>0</v>
      </c>
      <c r="G63" s="140">
        <f t="shared" ca="1" si="3"/>
        <v>44742</v>
      </c>
      <c r="H63" s="105">
        <f ca="1">VLOOKUP( $A63, Aop!$A$2:$P$456, 4, 0)</f>
        <v>63</v>
      </c>
      <c r="I63" s="105">
        <f t="shared" ca="1" si="4"/>
        <v>2022</v>
      </c>
      <c r="J63" s="105"/>
      <c r="K63" s="57" t="str">
        <f t="shared" ca="1" si="9"/>
        <v/>
      </c>
      <c r="L63" s="57">
        <f t="shared" ca="1" si="5"/>
        <v>18688775</v>
      </c>
      <c r="M63" s="57" t="str">
        <f t="shared" ca="1" si="6"/>
        <v/>
      </c>
      <c r="N63" s="57">
        <f t="shared" ca="1" si="7"/>
        <v>18688775</v>
      </c>
    </row>
    <row r="64" spans="1:14">
      <c r="A64" s="105">
        <v>64</v>
      </c>
      <c r="B64" s="105" t="str">
        <f ca="1">VLOOKUP( $A64, Aop!$A$2:$P$456, 2, 0)</f>
        <v>BSa</v>
      </c>
      <c r="C64" s="105">
        <f t="shared" ca="1" si="0"/>
        <v>2</v>
      </c>
      <c r="D64" s="105" t="str">
        <f t="shared" ca="1" si="1"/>
        <v>01111329</v>
      </c>
      <c r="E64" s="105" t="str">
        <f t="shared" ca="1" si="8"/>
        <v>4400692320002</v>
      </c>
      <c r="F64" s="105" t="b">
        <f t="shared" ca="1" si="2"/>
        <v>0</v>
      </c>
      <c r="G64" s="140">
        <f t="shared" ca="1" si="3"/>
        <v>44742</v>
      </c>
      <c r="H64" s="105">
        <f ca="1">VLOOKUP( $A64, Aop!$A$2:$P$456, 4, 0)</f>
        <v>64</v>
      </c>
      <c r="I64" s="105">
        <f t="shared" ca="1" si="4"/>
        <v>2022</v>
      </c>
      <c r="J64" s="105"/>
      <c r="K64" s="57" t="str">
        <f t="shared" ca="1" si="9"/>
        <v/>
      </c>
      <c r="L64" s="57">
        <f t="shared" ca="1" si="5"/>
        <v>11274</v>
      </c>
      <c r="M64" s="57" t="str">
        <f t="shared" ca="1" si="6"/>
        <v/>
      </c>
      <c r="N64" s="57">
        <f t="shared" ca="1" si="7"/>
        <v>11274</v>
      </c>
    </row>
    <row r="65" spans="1:14">
      <c r="A65" s="105">
        <v>65</v>
      </c>
      <c r="B65" s="105" t="str">
        <f ca="1">VLOOKUP( $A65, Aop!$A$2:$P$456, 2, 0)</f>
        <v>BSa</v>
      </c>
      <c r="C65" s="105">
        <f t="shared" ca="1" si="0"/>
        <v>2</v>
      </c>
      <c r="D65" s="105" t="str">
        <f t="shared" ca="1" si="1"/>
        <v>01111329</v>
      </c>
      <c r="E65" s="105" t="str">
        <f t="shared" ca="1" si="8"/>
        <v>4400692320002</v>
      </c>
      <c r="F65" s="105" t="b">
        <f t="shared" ca="1" si="2"/>
        <v>0</v>
      </c>
      <c r="G65" s="140">
        <f t="shared" ca="1" si="3"/>
        <v>44742</v>
      </c>
      <c r="H65" s="105">
        <f ca="1">VLOOKUP( $A65, Aop!$A$2:$P$456, 4, 0)</f>
        <v>65</v>
      </c>
      <c r="I65" s="105">
        <f t="shared" ca="1" si="4"/>
        <v>2022</v>
      </c>
      <c r="J65" s="105"/>
      <c r="K65" s="57" t="str">
        <f t="shared" ca="1" si="9"/>
        <v/>
      </c>
      <c r="L65" s="57" t="str">
        <f t="shared" ca="1" si="5"/>
        <v/>
      </c>
      <c r="M65" s="57" t="str">
        <f t="shared" ca="1" si="6"/>
        <v/>
      </c>
      <c r="N65" s="57">
        <f t="shared" ca="1" si="7"/>
        <v>0</v>
      </c>
    </row>
    <row r="66" spans="1:14">
      <c r="A66" s="105">
        <v>66</v>
      </c>
      <c r="B66" s="57" t="str">
        <f ca="1">VLOOKUP( $A66, Aop!$A$2:$P$456, 2, 0)</f>
        <v>BSa</v>
      </c>
      <c r="C66" s="57">
        <f ca="1">ID_Izvjestaj</f>
        <v>2</v>
      </c>
      <c r="D66" s="57" t="str">
        <f ca="1">Podatak_MB</f>
        <v>01111329</v>
      </c>
      <c r="E66" s="57" t="str">
        <f ca="1">Podatak_JIB</f>
        <v>4400692320002</v>
      </c>
      <c r="F66" s="57" t="b">
        <f ca="1">Konsolidovan_izvjestaj</f>
        <v>0</v>
      </c>
      <c r="G66" s="140">
        <f ca="1">Datum_Broj</f>
        <v>44742</v>
      </c>
      <c r="H66" s="57">
        <f ca="1">VLOOKUP( $A66, Aop!$A$2:$P$456, 4, 0)</f>
        <v>66</v>
      </c>
      <c r="I66" s="57">
        <f ca="1">Godina</f>
        <v>2022</v>
      </c>
      <c r="J66" s="57"/>
      <c r="K66" s="57" t="str">
        <f t="shared" ca="1" si="9"/>
        <v/>
      </c>
      <c r="L66" s="57">
        <f t="shared" ref="L66:L130" ca="1" si="10">IF( VLOOKUP( $H66, INDIRECT( "Lookup_" &amp; $B66), IF( LEFT( $B66, 2) = "BS", R$2, R$1), 0) = "", "", VLOOKUP( $H66, INDIRECT( "Lookup_" &amp; $B66), IF( $B66 = "BSa", R$2, R$1), 0))</f>
        <v>169217927</v>
      </c>
      <c r="M66" s="57">
        <f t="shared" ref="M66:M130" ca="1" si="11">IF( VLOOKUP( $H66, INDIRECT( "Lookup_" &amp; $B66), IF( LEFT( $B66, 2) = "BS", S$2, S$1), 0) = "", "", VLOOKUP( $H66, INDIRECT( "Lookup_" &amp; $B66), IF( LEFT( $B66, 2) = "BS", S$2, S$1), 0))</f>
        <v>96985911</v>
      </c>
      <c r="N66" s="57">
        <f t="shared" ref="N66:N130" ca="1" si="12">IF( VLOOKUP( $H66, INDIRECT( "Lookup_" &amp; $B66), IF( LEFT( $B66, 2) = "BS", T$2, T$1), 0) = "", "", VLOOKUP( $H66, INDIRECT( "Lookup_" &amp; $B66), IF( LEFT( $B66, 2) = "BS", T$2, T$1), 0))</f>
        <v>72232016</v>
      </c>
    </row>
    <row r="67" spans="1:14">
      <c r="A67" s="105">
        <v>67</v>
      </c>
      <c r="B67" s="105" t="str">
        <f ca="1">VLOOKUP( $A67, Aop!$A$2:$P$456, 2, 0)</f>
        <v>BSa</v>
      </c>
      <c r="C67" s="105">
        <f t="shared" ref="C67:C130" ca="1" si="13">ID_Izvjestaj</f>
        <v>2</v>
      </c>
      <c r="D67" s="105" t="str">
        <f t="shared" ref="D67:D128" ca="1" si="14">Podatak_MB</f>
        <v>01111329</v>
      </c>
      <c r="E67" s="105" t="str">
        <f t="shared" ref="E67:E128" ca="1" si="15">Podatak_JIB</f>
        <v>4400692320002</v>
      </c>
      <c r="F67" s="105" t="b">
        <f t="shared" ref="F67:F130" ca="1" si="16">Konsolidovan_izvjestaj</f>
        <v>0</v>
      </c>
      <c r="G67" s="140">
        <f t="shared" ref="G67:G130" ca="1" si="17">Datum_Broj</f>
        <v>44742</v>
      </c>
      <c r="H67" s="105">
        <f ca="1">VLOOKUP( $A67, Aop!$A$2:$P$456, 4, 0)</f>
        <v>67</v>
      </c>
      <c r="I67" s="105">
        <f t="shared" ref="I67:I128" ca="1" si="18">Godina</f>
        <v>2022</v>
      </c>
      <c r="J67" s="105"/>
      <c r="K67" s="57" t="str">
        <f ca="1">IF( VLOOKUP( $H67, INDIRECT( "Lookup_" &amp; $B67), IF( LEFT( $B67, 2) = "BS", Q$2, Q$1), 0) = "", "", VLOOKUP( $H67, INDIRECT( "Lookup_" &amp; $B67), IF( $B67 = "BSa", Q$2, Q$1), 0))</f>
        <v/>
      </c>
      <c r="L67" s="57">
        <f t="shared" ca="1" si="10"/>
        <v>14412988</v>
      </c>
      <c r="M67" s="57" t="str">
        <f t="shared" ca="1" si="11"/>
        <v/>
      </c>
      <c r="N67" s="57">
        <f t="shared" ca="1" si="12"/>
        <v>14412988</v>
      </c>
    </row>
    <row r="68" spans="1:14">
      <c r="A68" s="105">
        <v>68</v>
      </c>
      <c r="B68" s="105" t="str">
        <f ca="1">VLOOKUP( $A68, Aop!$A$2:$P$456, 2, 0)</f>
        <v>BSp</v>
      </c>
      <c r="C68" s="105">
        <f ca="1">ID_Izvjestaj</f>
        <v>2</v>
      </c>
      <c r="D68" s="105" t="str">
        <f ca="1">Podatak_MB</f>
        <v>01111329</v>
      </c>
      <c r="E68" s="105" t="str">
        <f ca="1">Podatak_JIB</f>
        <v>4400692320002</v>
      </c>
      <c r="F68" s="105" t="b">
        <f ca="1">Konsolidovan_izvjestaj</f>
        <v>0</v>
      </c>
      <c r="G68" s="140">
        <f ca="1">Datum_Broj</f>
        <v>44742</v>
      </c>
      <c r="H68" s="105">
        <f ca="1">VLOOKUP( $A68, Aop!$A$2:$P$456, 4, 0)</f>
        <v>101</v>
      </c>
      <c r="I68" s="105">
        <f ca="1">Godina</f>
        <v>2022</v>
      </c>
      <c r="J68" s="105"/>
      <c r="K68" s="57"/>
      <c r="L68" s="57" t="str">
        <f ca="1">IF( VLOOKUP( $H68, INDIRECT( "Lookup_" &amp; $B68), IF( LEFT( $B68, 2) = "BS", R$2, R$1), 0) = "", "", VLOOKUP( $H68, INDIRECT( "Lookup_" &amp; $B68), IF( $B68 = "BSa", R$2, R$1), 0))</f>
        <v/>
      </c>
      <c r="M68" s="57" t="str">
        <f ca="1">IF( VLOOKUP( $H68, INDIRECT( "Lookup_" &amp; $B68), IF( LEFT( $B68, 2) = "BS", S$2, S$1), 0) = "", "", VLOOKUP( $H68, INDIRECT( "Lookup_" &amp; $B68), IF( LEFT( $B68, 2) = "BS", S$2, S$1), 0))</f>
        <v/>
      </c>
      <c r="N68" s="57">
        <f ca="1">IF( VLOOKUP( $H68, INDIRECT( "Lookup_" &amp; $B68), IF( LEFT( $B68, 2) = "BS", T$2, T$1), 0) = "", "", VLOOKUP( $H68, INDIRECT( "Lookup_" &amp; $B68), IF( LEFT( $B68, 2) = "BS", T$2, T$1), 0))</f>
        <v>71445915</v>
      </c>
    </row>
    <row r="69" spans="1:14">
      <c r="A69" s="105">
        <v>69</v>
      </c>
      <c r="B69" s="105" t="str">
        <f ca="1">VLOOKUP( $A69, Aop!$A$2:$P$456, 2, 0)</f>
        <v>BSp</v>
      </c>
      <c r="C69" s="105">
        <f t="shared" ca="1" si="13"/>
        <v>2</v>
      </c>
      <c r="D69" s="105" t="str">
        <f t="shared" ca="1" si="14"/>
        <v>01111329</v>
      </c>
      <c r="E69" s="105" t="str">
        <f t="shared" ca="1" si="15"/>
        <v>4400692320002</v>
      </c>
      <c r="F69" s="105" t="b">
        <f t="shared" ca="1" si="16"/>
        <v>0</v>
      </c>
      <c r="G69" s="140">
        <f t="shared" ca="1" si="17"/>
        <v>44742</v>
      </c>
      <c r="H69" s="105">
        <f ca="1">VLOOKUP( $A69, Aop!$A$2:$P$456, 4, 0)</f>
        <v>102</v>
      </c>
      <c r="I69" s="105">
        <f t="shared" ca="1" si="18"/>
        <v>2022</v>
      </c>
      <c r="J69" s="105"/>
      <c r="K69" s="57"/>
      <c r="L69" s="57" t="str">
        <f t="shared" ca="1" si="10"/>
        <v/>
      </c>
      <c r="M69" s="57" t="str">
        <f t="shared" ca="1" si="11"/>
        <v/>
      </c>
      <c r="N69" s="57">
        <f t="shared" ca="1" si="12"/>
        <v>50777428</v>
      </c>
    </row>
    <row r="70" spans="1:14">
      <c r="A70" s="105">
        <v>70</v>
      </c>
      <c r="B70" s="105" t="str">
        <f ca="1">VLOOKUP( $A70, Aop!$A$2:$P$456, 2, 0)</f>
        <v>BSp</v>
      </c>
      <c r="C70" s="105">
        <f t="shared" ca="1" si="13"/>
        <v>2</v>
      </c>
      <c r="D70" s="105" t="str">
        <f t="shared" ca="1" si="14"/>
        <v>01111329</v>
      </c>
      <c r="E70" s="105" t="str">
        <f t="shared" ca="1" si="15"/>
        <v>4400692320002</v>
      </c>
      <c r="F70" s="105" t="b">
        <f t="shared" ca="1" si="16"/>
        <v>0</v>
      </c>
      <c r="G70" s="140">
        <f t="shared" ca="1" si="17"/>
        <v>44742</v>
      </c>
      <c r="H70" s="105">
        <f ca="1">VLOOKUP( $A70, Aop!$A$2:$P$456, 4, 0)</f>
        <v>103</v>
      </c>
      <c r="I70" s="105">
        <f t="shared" ca="1" si="18"/>
        <v>2022</v>
      </c>
      <c r="J70" s="105"/>
      <c r="K70" s="57"/>
      <c r="L70" s="57" t="str">
        <f t="shared" ca="1" si="10"/>
        <v/>
      </c>
      <c r="M70" s="57" t="str">
        <f t="shared" ca="1" si="11"/>
        <v/>
      </c>
      <c r="N70" s="57">
        <f t="shared" ca="1" si="12"/>
        <v>50777428</v>
      </c>
    </row>
    <row r="71" spans="1:14">
      <c r="A71" s="105">
        <v>71</v>
      </c>
      <c r="B71" s="105" t="str">
        <f ca="1">VLOOKUP( $A71, Aop!$A$2:$P$456, 2, 0)</f>
        <v>BSp</v>
      </c>
      <c r="C71" s="105">
        <f t="shared" ca="1" si="13"/>
        <v>2</v>
      </c>
      <c r="D71" s="105" t="str">
        <f t="shared" ca="1" si="14"/>
        <v>01111329</v>
      </c>
      <c r="E71" s="105" t="str">
        <f t="shared" ca="1" si="15"/>
        <v>4400692320002</v>
      </c>
      <c r="F71" s="105" t="b">
        <f t="shared" ca="1" si="16"/>
        <v>0</v>
      </c>
      <c r="G71" s="140">
        <f t="shared" ca="1" si="17"/>
        <v>44742</v>
      </c>
      <c r="H71" s="105">
        <f ca="1">VLOOKUP( $A71, Aop!$A$2:$P$456, 4, 0)</f>
        <v>104</v>
      </c>
      <c r="I71" s="105">
        <f t="shared" ca="1" si="18"/>
        <v>2022</v>
      </c>
      <c r="J71" s="105"/>
      <c r="K71" s="57"/>
      <c r="L71" s="57" t="str">
        <f t="shared" ca="1" si="10"/>
        <v/>
      </c>
      <c r="M71" s="57" t="str">
        <f t="shared" ca="1" si="11"/>
        <v/>
      </c>
      <c r="N71" s="57">
        <f t="shared" ca="1" si="12"/>
        <v>50777428</v>
      </c>
    </row>
    <row r="72" spans="1:14">
      <c r="A72" s="105">
        <v>72</v>
      </c>
      <c r="B72" s="105" t="str">
        <f ca="1">VLOOKUP( $A72, Aop!$A$2:$P$456, 2, 0)</f>
        <v>BSp</v>
      </c>
      <c r="C72" s="105">
        <f t="shared" ca="1" si="13"/>
        <v>2</v>
      </c>
      <c r="D72" s="105" t="str">
        <f t="shared" ca="1" si="14"/>
        <v>01111329</v>
      </c>
      <c r="E72" s="105" t="str">
        <f t="shared" ca="1" si="15"/>
        <v>4400692320002</v>
      </c>
      <c r="F72" s="105" t="b">
        <f t="shared" ca="1" si="16"/>
        <v>0</v>
      </c>
      <c r="G72" s="140">
        <f t="shared" ca="1" si="17"/>
        <v>44742</v>
      </c>
      <c r="H72" s="105">
        <f ca="1">VLOOKUP( $A72, Aop!$A$2:$P$456, 4, 0)</f>
        <v>105</v>
      </c>
      <c r="I72" s="105">
        <f t="shared" ca="1" si="18"/>
        <v>2022</v>
      </c>
      <c r="J72" s="105"/>
      <c r="K72" s="57"/>
      <c r="L72" s="57" t="str">
        <f t="shared" ca="1" si="10"/>
        <v/>
      </c>
      <c r="M72" s="57" t="str">
        <f t="shared" ca="1" si="11"/>
        <v/>
      </c>
      <c r="N72" s="57" t="str">
        <f t="shared" ca="1" si="12"/>
        <v/>
      </c>
    </row>
    <row r="73" spans="1:14">
      <c r="A73" s="105">
        <v>73</v>
      </c>
      <c r="B73" s="105" t="str">
        <f ca="1">VLOOKUP( $A73, Aop!$A$2:$P$456, 2, 0)</f>
        <v>BSp</v>
      </c>
      <c r="C73" s="105">
        <f t="shared" ca="1" si="13"/>
        <v>2</v>
      </c>
      <c r="D73" s="105" t="str">
        <f t="shared" ca="1" si="14"/>
        <v>01111329</v>
      </c>
      <c r="E73" s="105" t="str">
        <f t="shared" ca="1" si="15"/>
        <v>4400692320002</v>
      </c>
      <c r="F73" s="105" t="b">
        <f t="shared" ca="1" si="16"/>
        <v>0</v>
      </c>
      <c r="G73" s="140">
        <f t="shared" ca="1" si="17"/>
        <v>44742</v>
      </c>
      <c r="H73" s="105">
        <f ca="1">VLOOKUP( $A73, Aop!$A$2:$P$456, 4, 0)</f>
        <v>106</v>
      </c>
      <c r="I73" s="105">
        <f t="shared" ca="1" si="18"/>
        <v>2022</v>
      </c>
      <c r="J73" s="105"/>
      <c r="K73" s="57"/>
      <c r="L73" s="57" t="str">
        <f t="shared" ca="1" si="10"/>
        <v/>
      </c>
      <c r="M73" s="57" t="str">
        <f t="shared" ca="1" si="11"/>
        <v/>
      </c>
      <c r="N73" s="57" t="str">
        <f t="shared" ca="1" si="12"/>
        <v/>
      </c>
    </row>
    <row r="74" spans="1:14">
      <c r="A74" s="105">
        <v>74</v>
      </c>
      <c r="B74" s="105" t="str">
        <f ca="1">VLOOKUP( $A74, Aop!$A$2:$P$456, 2, 0)</f>
        <v>BSp</v>
      </c>
      <c r="C74" s="105">
        <f t="shared" ca="1" si="13"/>
        <v>2</v>
      </c>
      <c r="D74" s="105" t="str">
        <f t="shared" ca="1" si="14"/>
        <v>01111329</v>
      </c>
      <c r="E74" s="105" t="str">
        <f t="shared" ca="1" si="15"/>
        <v>4400692320002</v>
      </c>
      <c r="F74" s="105" t="b">
        <f t="shared" ca="1" si="16"/>
        <v>0</v>
      </c>
      <c r="G74" s="140">
        <f t="shared" ca="1" si="17"/>
        <v>44742</v>
      </c>
      <c r="H74" s="105">
        <f ca="1">VLOOKUP( $A74, Aop!$A$2:$P$456, 4, 0)</f>
        <v>107</v>
      </c>
      <c r="I74" s="105">
        <f t="shared" ca="1" si="18"/>
        <v>2022</v>
      </c>
      <c r="J74" s="105"/>
      <c r="K74" s="57"/>
      <c r="L74" s="57" t="str">
        <f t="shared" ca="1" si="10"/>
        <v/>
      </c>
      <c r="M74" s="57" t="str">
        <f t="shared" ca="1" si="11"/>
        <v/>
      </c>
      <c r="N74" s="57" t="str">
        <f t="shared" ca="1" si="12"/>
        <v/>
      </c>
    </row>
    <row r="75" spans="1:14">
      <c r="A75" s="105">
        <v>75</v>
      </c>
      <c r="B75" s="105" t="str">
        <f ca="1">VLOOKUP( $A75, Aop!$A$2:$P$456, 2, 0)</f>
        <v>BSp</v>
      </c>
      <c r="C75" s="105">
        <f t="shared" ca="1" si="13"/>
        <v>2</v>
      </c>
      <c r="D75" s="105" t="str">
        <f t="shared" ca="1" si="14"/>
        <v>01111329</v>
      </c>
      <c r="E75" s="105" t="str">
        <f t="shared" ca="1" si="15"/>
        <v>4400692320002</v>
      </c>
      <c r="F75" s="105" t="b">
        <f t="shared" ca="1" si="16"/>
        <v>0</v>
      </c>
      <c r="G75" s="140">
        <f t="shared" ca="1" si="17"/>
        <v>44742</v>
      </c>
      <c r="H75" s="105">
        <f ca="1">VLOOKUP( $A75, Aop!$A$2:$P$456, 4, 0)</f>
        <v>108</v>
      </c>
      <c r="I75" s="105">
        <f t="shared" ca="1" si="18"/>
        <v>2022</v>
      </c>
      <c r="J75" s="105"/>
      <c r="K75" s="57"/>
      <c r="L75" s="57" t="str">
        <f t="shared" ca="1" si="10"/>
        <v/>
      </c>
      <c r="M75" s="57" t="str">
        <f t="shared" ca="1" si="11"/>
        <v/>
      </c>
      <c r="N75" s="57" t="str">
        <f t="shared" ca="1" si="12"/>
        <v/>
      </c>
    </row>
    <row r="76" spans="1:14">
      <c r="A76" s="105">
        <v>76</v>
      </c>
      <c r="B76" s="105" t="str">
        <f ca="1">VLOOKUP( $A76, Aop!$A$2:$P$456, 2, 0)</f>
        <v>BSp</v>
      </c>
      <c r="C76" s="105">
        <f t="shared" ca="1" si="13"/>
        <v>2</v>
      </c>
      <c r="D76" s="105" t="str">
        <f t="shared" ca="1" si="14"/>
        <v>01111329</v>
      </c>
      <c r="E76" s="105" t="str">
        <f t="shared" ca="1" si="15"/>
        <v>4400692320002</v>
      </c>
      <c r="F76" s="105" t="b">
        <f t="shared" ca="1" si="16"/>
        <v>0</v>
      </c>
      <c r="G76" s="140">
        <f t="shared" ca="1" si="17"/>
        <v>44742</v>
      </c>
      <c r="H76" s="105">
        <f ca="1">VLOOKUP( $A76, Aop!$A$2:$P$456, 4, 0)</f>
        <v>109</v>
      </c>
      <c r="I76" s="105">
        <f t="shared" ca="1" si="18"/>
        <v>2022</v>
      </c>
      <c r="J76" s="105"/>
      <c r="K76" s="57"/>
      <c r="L76" s="57" t="str">
        <f t="shared" ca="1" si="10"/>
        <v/>
      </c>
      <c r="M76" s="57" t="str">
        <f t="shared" ca="1" si="11"/>
        <v/>
      </c>
      <c r="N76" s="57" t="str">
        <f t="shared" ca="1" si="12"/>
        <v/>
      </c>
    </row>
    <row r="77" spans="1:14">
      <c r="A77" s="105">
        <v>77</v>
      </c>
      <c r="B77" s="105" t="str">
        <f ca="1">VLOOKUP( $A77, Aop!$A$2:$P$456, 2, 0)</f>
        <v>BSp</v>
      </c>
      <c r="C77" s="105">
        <f t="shared" ca="1" si="13"/>
        <v>2</v>
      </c>
      <c r="D77" s="105" t="str">
        <f t="shared" ca="1" si="14"/>
        <v>01111329</v>
      </c>
      <c r="E77" s="105" t="str">
        <f t="shared" ca="1" si="15"/>
        <v>4400692320002</v>
      </c>
      <c r="F77" s="105" t="b">
        <f t="shared" ca="1" si="16"/>
        <v>0</v>
      </c>
      <c r="G77" s="140">
        <f t="shared" ca="1" si="17"/>
        <v>44742</v>
      </c>
      <c r="H77" s="105">
        <f ca="1">VLOOKUP( $A77, Aop!$A$2:$P$456, 4, 0)</f>
        <v>110</v>
      </c>
      <c r="I77" s="105">
        <f t="shared" ca="1" si="18"/>
        <v>2022</v>
      </c>
      <c r="J77" s="105"/>
      <c r="K77" s="57"/>
      <c r="L77" s="57" t="str">
        <f t="shared" ca="1" si="10"/>
        <v/>
      </c>
      <c r="M77" s="57" t="str">
        <f t="shared" ca="1" si="11"/>
        <v/>
      </c>
      <c r="N77" s="57">
        <f t="shared" ca="1" si="12"/>
        <v>0</v>
      </c>
    </row>
    <row r="78" spans="1:14">
      <c r="A78" s="105">
        <v>78</v>
      </c>
      <c r="B78" s="105" t="str">
        <f ca="1">VLOOKUP( $A78, Aop!$A$2:$P$456, 2, 0)</f>
        <v>BSp</v>
      </c>
      <c r="C78" s="105">
        <f t="shared" ca="1" si="13"/>
        <v>2</v>
      </c>
      <c r="D78" s="105" t="str">
        <f t="shared" ca="1" si="14"/>
        <v>01111329</v>
      </c>
      <c r="E78" s="105" t="str">
        <f t="shared" ca="1" si="15"/>
        <v>4400692320002</v>
      </c>
      <c r="F78" s="105" t="b">
        <f t="shared" ca="1" si="16"/>
        <v>0</v>
      </c>
      <c r="G78" s="140">
        <f t="shared" ca="1" si="17"/>
        <v>44742</v>
      </c>
      <c r="H78" s="105">
        <f ca="1">VLOOKUP( $A78, Aop!$A$2:$P$456, 4, 0)</f>
        <v>111</v>
      </c>
      <c r="I78" s="105">
        <f t="shared" ca="1" si="18"/>
        <v>2022</v>
      </c>
      <c r="J78" s="105"/>
      <c r="K78" s="57"/>
      <c r="L78" s="57" t="str">
        <f t="shared" ca="1" si="10"/>
        <v/>
      </c>
      <c r="M78" s="57" t="str">
        <f t="shared" ca="1" si="11"/>
        <v/>
      </c>
      <c r="N78" s="57" t="str">
        <f t="shared" ca="1" si="12"/>
        <v/>
      </c>
    </row>
    <row r="79" spans="1:14">
      <c r="A79" s="105">
        <v>79</v>
      </c>
      <c r="B79" s="105" t="str">
        <f ca="1">VLOOKUP( $A79, Aop!$A$2:$P$456, 2, 0)</f>
        <v>BSp</v>
      </c>
      <c r="C79" s="105">
        <f t="shared" ca="1" si="13"/>
        <v>2</v>
      </c>
      <c r="D79" s="105" t="str">
        <f t="shared" ca="1" si="14"/>
        <v>01111329</v>
      </c>
      <c r="E79" s="105" t="str">
        <f t="shared" ca="1" si="15"/>
        <v>4400692320002</v>
      </c>
      <c r="F79" s="105" t="b">
        <f t="shared" ca="1" si="16"/>
        <v>0</v>
      </c>
      <c r="G79" s="140">
        <f t="shared" ca="1" si="17"/>
        <v>44742</v>
      </c>
      <c r="H79" s="105">
        <f ca="1">VLOOKUP( $A79, Aop!$A$2:$P$456, 4, 0)</f>
        <v>112</v>
      </c>
      <c r="I79" s="105">
        <f t="shared" ca="1" si="18"/>
        <v>2022</v>
      </c>
      <c r="J79" s="105"/>
      <c r="K79" s="57"/>
      <c r="L79" s="57" t="str">
        <f t="shared" ca="1" si="10"/>
        <v/>
      </c>
      <c r="M79" s="57" t="str">
        <f t="shared" ca="1" si="11"/>
        <v/>
      </c>
      <c r="N79" s="57" t="str">
        <f t="shared" ca="1" si="12"/>
        <v/>
      </c>
    </row>
    <row r="80" spans="1:14">
      <c r="A80" s="105">
        <v>80</v>
      </c>
      <c r="B80" s="105" t="str">
        <f ca="1">VLOOKUP( $A80, Aop!$A$2:$P$456, 2, 0)</f>
        <v>BSp</v>
      </c>
      <c r="C80" s="105">
        <f t="shared" ca="1" si="13"/>
        <v>2</v>
      </c>
      <c r="D80" s="105" t="str">
        <f t="shared" ca="1" si="14"/>
        <v>01111329</v>
      </c>
      <c r="E80" s="105" t="str">
        <f t="shared" ca="1" si="15"/>
        <v>4400692320002</v>
      </c>
      <c r="F80" s="105" t="b">
        <f t="shared" ca="1" si="16"/>
        <v>0</v>
      </c>
      <c r="G80" s="140">
        <f t="shared" ca="1" si="17"/>
        <v>44742</v>
      </c>
      <c r="H80" s="105">
        <f ca="1">VLOOKUP( $A80, Aop!$A$2:$P$456, 4, 0)</f>
        <v>113</v>
      </c>
      <c r="I80" s="105">
        <f t="shared" ca="1" si="18"/>
        <v>2022</v>
      </c>
      <c r="J80" s="105"/>
      <c r="K80" s="57"/>
      <c r="L80" s="57" t="str">
        <f t="shared" ca="1" si="10"/>
        <v/>
      </c>
      <c r="M80" s="57" t="str">
        <f t="shared" ca="1" si="11"/>
        <v/>
      </c>
      <c r="N80" s="57" t="str">
        <f t="shared" ca="1" si="12"/>
        <v/>
      </c>
    </row>
    <row r="81" spans="1:14">
      <c r="A81" s="105">
        <v>81</v>
      </c>
      <c r="B81" s="105" t="str">
        <f ca="1">VLOOKUP( $A81, Aop!$A$2:$P$456, 2, 0)</f>
        <v>BSp</v>
      </c>
      <c r="C81" s="105">
        <f t="shared" ca="1" si="13"/>
        <v>2</v>
      </c>
      <c r="D81" s="105" t="str">
        <f t="shared" ca="1" si="14"/>
        <v>01111329</v>
      </c>
      <c r="E81" s="105" t="str">
        <f t="shared" ca="1" si="15"/>
        <v>4400692320002</v>
      </c>
      <c r="F81" s="105" t="b">
        <f t="shared" ca="1" si="16"/>
        <v>0</v>
      </c>
      <c r="G81" s="140">
        <f t="shared" ca="1" si="17"/>
        <v>44742</v>
      </c>
      <c r="H81" s="105">
        <f ca="1">VLOOKUP( $A81, Aop!$A$2:$P$456, 4, 0)</f>
        <v>114</v>
      </c>
      <c r="I81" s="105">
        <f t="shared" ca="1" si="18"/>
        <v>2022</v>
      </c>
      <c r="J81" s="105"/>
      <c r="K81" s="57"/>
      <c r="L81" s="57" t="str">
        <f t="shared" ca="1" si="10"/>
        <v/>
      </c>
      <c r="M81" s="57" t="str">
        <f t="shared" ca="1" si="11"/>
        <v/>
      </c>
      <c r="N81" s="57" t="str">
        <f t="shared" ca="1" si="12"/>
        <v/>
      </c>
    </row>
    <row r="82" spans="1:14">
      <c r="A82" s="105">
        <v>82</v>
      </c>
      <c r="B82" s="105" t="str">
        <f ca="1">VLOOKUP( $A82, Aop!$A$2:$P$456, 2, 0)</f>
        <v>BSp</v>
      </c>
      <c r="C82" s="105">
        <f t="shared" ca="1" si="13"/>
        <v>2</v>
      </c>
      <c r="D82" s="105" t="str">
        <f t="shared" ca="1" si="14"/>
        <v>01111329</v>
      </c>
      <c r="E82" s="105" t="str">
        <f t="shared" ca="1" si="15"/>
        <v>4400692320002</v>
      </c>
      <c r="F82" s="105" t="b">
        <f t="shared" ca="1" si="16"/>
        <v>0</v>
      </c>
      <c r="G82" s="140">
        <f t="shared" ca="1" si="17"/>
        <v>44742</v>
      </c>
      <c r="H82" s="105">
        <f ca="1">VLOOKUP( $A82, Aop!$A$2:$P$456, 4, 0)</f>
        <v>115</v>
      </c>
      <c r="I82" s="105">
        <f t="shared" ca="1" si="18"/>
        <v>2022</v>
      </c>
      <c r="J82" s="105"/>
      <c r="K82" s="57"/>
      <c r="L82" s="57" t="str">
        <f t="shared" ca="1" si="10"/>
        <v/>
      </c>
      <c r="M82" s="57" t="str">
        <f t="shared" ca="1" si="11"/>
        <v/>
      </c>
      <c r="N82" s="57">
        <f t="shared" ca="1" si="12"/>
        <v>873001</v>
      </c>
    </row>
    <row r="83" spans="1:14">
      <c r="A83" s="105">
        <v>83</v>
      </c>
      <c r="B83" s="105" t="str">
        <f ca="1">VLOOKUP( $A83, Aop!$A$2:$P$456, 2, 0)</f>
        <v>BSp</v>
      </c>
      <c r="C83" s="105">
        <f t="shared" ca="1" si="13"/>
        <v>2</v>
      </c>
      <c r="D83" s="105" t="str">
        <f t="shared" ca="1" si="14"/>
        <v>01111329</v>
      </c>
      <c r="E83" s="105" t="str">
        <f t="shared" ca="1" si="15"/>
        <v>4400692320002</v>
      </c>
      <c r="F83" s="105" t="b">
        <f t="shared" ca="1" si="16"/>
        <v>0</v>
      </c>
      <c r="G83" s="140">
        <f t="shared" ca="1" si="17"/>
        <v>44742</v>
      </c>
      <c r="H83" s="105">
        <f ca="1">VLOOKUP( $A83, Aop!$A$2:$P$456, 4, 0)</f>
        <v>116</v>
      </c>
      <c r="I83" s="105">
        <f t="shared" ca="1" si="18"/>
        <v>2022</v>
      </c>
      <c r="J83" s="105"/>
      <c r="K83" s="57"/>
      <c r="L83" s="57" t="str">
        <f t="shared" ca="1" si="10"/>
        <v/>
      </c>
      <c r="M83" s="57" t="str">
        <f t="shared" ca="1" si="11"/>
        <v/>
      </c>
      <c r="N83" s="57">
        <f t="shared" ca="1" si="12"/>
        <v>873001</v>
      </c>
    </row>
    <row r="84" spans="1:14">
      <c r="A84" s="105">
        <v>84</v>
      </c>
      <c r="B84" s="105" t="str">
        <f ca="1">VLOOKUP( $A84, Aop!$A$2:$P$456, 2, 0)</f>
        <v>BSp</v>
      </c>
      <c r="C84" s="105">
        <f t="shared" ca="1" si="13"/>
        <v>2</v>
      </c>
      <c r="D84" s="105" t="str">
        <f t="shared" ca="1" si="14"/>
        <v>01111329</v>
      </c>
      <c r="E84" s="105" t="str">
        <f t="shared" ca="1" si="15"/>
        <v>4400692320002</v>
      </c>
      <c r="F84" s="105" t="b">
        <f t="shared" ca="1" si="16"/>
        <v>0</v>
      </c>
      <c r="G84" s="140">
        <f t="shared" ca="1" si="17"/>
        <v>44742</v>
      </c>
      <c r="H84" s="105">
        <f ca="1">VLOOKUP( $A84, Aop!$A$2:$P$456, 4, 0)</f>
        <v>117</v>
      </c>
      <c r="I84" s="105">
        <f t="shared" ca="1" si="18"/>
        <v>2022</v>
      </c>
      <c r="J84" s="105"/>
      <c r="K84" s="57"/>
      <c r="L84" s="57" t="str">
        <f t="shared" ca="1" si="10"/>
        <v/>
      </c>
      <c r="M84" s="57" t="str">
        <f t="shared" ca="1" si="11"/>
        <v/>
      </c>
      <c r="N84" s="57" t="str">
        <f t="shared" ca="1" si="12"/>
        <v/>
      </c>
    </row>
    <row r="85" spans="1:14">
      <c r="A85" s="105">
        <v>85</v>
      </c>
      <c r="B85" s="105" t="str">
        <f ca="1">VLOOKUP( $A85, Aop!$A$2:$P$456, 2, 0)</f>
        <v>BSp</v>
      </c>
      <c r="C85" s="105">
        <f t="shared" ca="1" si="13"/>
        <v>2</v>
      </c>
      <c r="D85" s="105" t="str">
        <f t="shared" ca="1" si="14"/>
        <v>01111329</v>
      </c>
      <c r="E85" s="105" t="str">
        <f t="shared" ca="1" si="15"/>
        <v>4400692320002</v>
      </c>
      <c r="F85" s="105" t="b">
        <f t="shared" ca="1" si="16"/>
        <v>0</v>
      </c>
      <c r="G85" s="140">
        <f t="shared" ca="1" si="17"/>
        <v>44742</v>
      </c>
      <c r="H85" s="105">
        <f ca="1">VLOOKUP( $A85, Aop!$A$2:$P$456, 4, 0)</f>
        <v>118</v>
      </c>
      <c r="I85" s="105">
        <f t="shared" ca="1" si="18"/>
        <v>2022</v>
      </c>
      <c r="J85" s="105"/>
      <c r="K85" s="57"/>
      <c r="L85" s="57" t="str">
        <f t="shared" ca="1" si="10"/>
        <v/>
      </c>
      <c r="M85" s="57" t="str">
        <f t="shared" ca="1" si="11"/>
        <v/>
      </c>
      <c r="N85" s="57" t="str">
        <f t="shared" ca="1" si="12"/>
        <v/>
      </c>
    </row>
    <row r="86" spans="1:14">
      <c r="A86" s="105">
        <v>86</v>
      </c>
      <c r="B86" s="105" t="str">
        <f ca="1">VLOOKUP( $A86, Aop!$A$2:$P$456, 2, 0)</f>
        <v>BSp</v>
      </c>
      <c r="C86" s="105">
        <f t="shared" ca="1" si="13"/>
        <v>2</v>
      </c>
      <c r="D86" s="105" t="str">
        <f t="shared" ca="1" si="14"/>
        <v>01111329</v>
      </c>
      <c r="E86" s="105" t="str">
        <f t="shared" ca="1" si="15"/>
        <v>4400692320002</v>
      </c>
      <c r="F86" s="105" t="b">
        <f t="shared" ca="1" si="16"/>
        <v>0</v>
      </c>
      <c r="G86" s="140">
        <f t="shared" ca="1" si="17"/>
        <v>44742</v>
      </c>
      <c r="H86" s="105">
        <f ca="1">VLOOKUP( $A86, Aop!$A$2:$P$456, 4, 0)</f>
        <v>119</v>
      </c>
      <c r="I86" s="105">
        <f t="shared" ca="1" si="18"/>
        <v>2022</v>
      </c>
      <c r="J86" s="105"/>
      <c r="K86" s="57"/>
      <c r="L86" s="57" t="str">
        <f t="shared" ca="1" si="10"/>
        <v/>
      </c>
      <c r="M86" s="57" t="str">
        <f t="shared" ca="1" si="11"/>
        <v/>
      </c>
      <c r="N86" s="57">
        <f t="shared" ca="1" si="12"/>
        <v>938788</v>
      </c>
    </row>
    <row r="87" spans="1:14">
      <c r="A87" s="105">
        <v>87</v>
      </c>
      <c r="B87" s="105" t="str">
        <f ca="1">VLOOKUP( $A87, Aop!$A$2:$P$456, 2, 0)</f>
        <v>BSp</v>
      </c>
      <c r="C87" s="105">
        <f t="shared" ca="1" si="13"/>
        <v>2</v>
      </c>
      <c r="D87" s="105" t="str">
        <f t="shared" ca="1" si="14"/>
        <v>01111329</v>
      </c>
      <c r="E87" s="105" t="str">
        <f t="shared" ca="1" si="15"/>
        <v>4400692320002</v>
      </c>
      <c r="F87" s="105" t="b">
        <f t="shared" ca="1" si="16"/>
        <v>0</v>
      </c>
      <c r="G87" s="140">
        <f t="shared" ca="1" si="17"/>
        <v>44742</v>
      </c>
      <c r="H87" s="105">
        <f ca="1">VLOOKUP( $A87, Aop!$A$2:$P$456, 4, 0)</f>
        <v>120</v>
      </c>
      <c r="I87" s="105">
        <f t="shared" ca="1" si="18"/>
        <v>2022</v>
      </c>
      <c r="J87" s="105"/>
      <c r="K87" s="57"/>
      <c r="L87" s="57" t="str">
        <f t="shared" ca="1" si="10"/>
        <v/>
      </c>
      <c r="M87" s="57" t="str">
        <f t="shared" ca="1" si="11"/>
        <v/>
      </c>
      <c r="N87" s="57" t="str">
        <f t="shared" ca="1" si="12"/>
        <v/>
      </c>
    </row>
    <row r="88" spans="1:14">
      <c r="A88" s="105">
        <v>88</v>
      </c>
      <c r="B88" s="105" t="str">
        <f ca="1">VLOOKUP( $A88, Aop!$A$2:$P$456, 2, 0)</f>
        <v>BSp</v>
      </c>
      <c r="C88" s="105">
        <f t="shared" ca="1" si="13"/>
        <v>2</v>
      </c>
      <c r="D88" s="105" t="str">
        <f t="shared" ca="1" si="14"/>
        <v>01111329</v>
      </c>
      <c r="E88" s="105" t="str">
        <f t="shared" ca="1" si="15"/>
        <v>4400692320002</v>
      </c>
      <c r="F88" s="105" t="b">
        <f t="shared" ca="1" si="16"/>
        <v>0</v>
      </c>
      <c r="G88" s="140">
        <f t="shared" ca="1" si="17"/>
        <v>44742</v>
      </c>
      <c r="H88" s="105">
        <f ca="1">VLOOKUP( $A88, Aop!$A$2:$P$456, 4, 0)</f>
        <v>121</v>
      </c>
      <c r="I88" s="105">
        <f t="shared" ca="1" si="18"/>
        <v>2022</v>
      </c>
      <c r="J88" s="105"/>
      <c r="K88" s="57"/>
      <c r="L88" s="57" t="str">
        <f t="shared" ca="1" si="10"/>
        <v/>
      </c>
      <c r="M88" s="57" t="str">
        <f t="shared" ca="1" si="11"/>
        <v/>
      </c>
      <c r="N88" s="57">
        <f t="shared" ca="1" si="12"/>
        <v>938788</v>
      </c>
    </row>
    <row r="89" spans="1:14">
      <c r="A89" s="105">
        <v>89</v>
      </c>
      <c r="B89" s="105" t="str">
        <f ca="1">VLOOKUP( $A89, Aop!$A$2:$P$456, 2, 0)</f>
        <v>BSp</v>
      </c>
      <c r="C89" s="105">
        <f t="shared" ca="1" si="13"/>
        <v>2</v>
      </c>
      <c r="D89" s="105" t="str">
        <f t="shared" ca="1" si="14"/>
        <v>01111329</v>
      </c>
      <c r="E89" s="105" t="str">
        <f t="shared" ca="1" si="15"/>
        <v>4400692320002</v>
      </c>
      <c r="F89" s="105" t="b">
        <f t="shared" ca="1" si="16"/>
        <v>0</v>
      </c>
      <c r="G89" s="140">
        <f t="shared" ca="1" si="17"/>
        <v>44742</v>
      </c>
      <c r="H89" s="105">
        <f ca="1">VLOOKUP( $A89, Aop!$A$2:$P$456, 4, 0)</f>
        <v>122</v>
      </c>
      <c r="I89" s="105">
        <f t="shared" ca="1" si="18"/>
        <v>2022</v>
      </c>
      <c r="J89" s="105"/>
      <c r="K89" s="57"/>
      <c r="L89" s="57" t="str">
        <f t="shared" ca="1" si="10"/>
        <v/>
      </c>
      <c r="M89" s="57" t="str">
        <f t="shared" ca="1" si="11"/>
        <v/>
      </c>
      <c r="N89" s="57" t="str">
        <f t="shared" ca="1" si="12"/>
        <v/>
      </c>
    </row>
    <row r="90" spans="1:14">
      <c r="A90" s="105">
        <v>90</v>
      </c>
      <c r="B90" s="105" t="str">
        <f ca="1">VLOOKUP( $A90, Aop!$A$2:$P$456, 2, 0)</f>
        <v>BSp</v>
      </c>
      <c r="C90" s="105">
        <f t="shared" ca="1" si="13"/>
        <v>2</v>
      </c>
      <c r="D90" s="105" t="str">
        <f t="shared" ca="1" si="14"/>
        <v>01111329</v>
      </c>
      <c r="E90" s="105" t="str">
        <f t="shared" ca="1" si="15"/>
        <v>4400692320002</v>
      </c>
      <c r="F90" s="105" t="b">
        <f t="shared" ca="1" si="16"/>
        <v>0</v>
      </c>
      <c r="G90" s="140">
        <f t="shared" ca="1" si="17"/>
        <v>44742</v>
      </c>
      <c r="H90" s="105">
        <f ca="1">VLOOKUP( $A90, Aop!$A$2:$P$456, 4, 0)</f>
        <v>123</v>
      </c>
      <c r="I90" s="105">
        <f t="shared" ca="1" si="18"/>
        <v>2022</v>
      </c>
      <c r="J90" s="105"/>
      <c r="K90" s="57"/>
      <c r="L90" s="57" t="str">
        <f t="shared" ca="1" si="10"/>
        <v/>
      </c>
      <c r="M90" s="57" t="str">
        <f t="shared" ca="1" si="11"/>
        <v/>
      </c>
      <c r="N90" s="57" t="str">
        <f t="shared" ca="1" si="12"/>
        <v/>
      </c>
    </row>
    <row r="91" spans="1:14">
      <c r="A91" s="105">
        <v>91</v>
      </c>
      <c r="B91" s="105" t="str">
        <f ca="1">VLOOKUP( $A91, Aop!$A$2:$P$456, 2, 0)</f>
        <v>BSp</v>
      </c>
      <c r="C91" s="105">
        <f t="shared" ca="1" si="13"/>
        <v>2</v>
      </c>
      <c r="D91" s="105" t="str">
        <f t="shared" ca="1" si="14"/>
        <v>01111329</v>
      </c>
      <c r="E91" s="105" t="str">
        <f t="shared" ca="1" si="15"/>
        <v>4400692320002</v>
      </c>
      <c r="F91" s="105" t="b">
        <f t="shared" ca="1" si="16"/>
        <v>0</v>
      </c>
      <c r="G91" s="140">
        <f t="shared" ca="1" si="17"/>
        <v>44742</v>
      </c>
      <c r="H91" s="105">
        <f ca="1">VLOOKUP( $A91, Aop!$A$2:$P$456, 4, 0)</f>
        <v>124</v>
      </c>
      <c r="I91" s="105">
        <f t="shared" ca="1" si="18"/>
        <v>2022</v>
      </c>
      <c r="J91" s="105"/>
      <c r="K91" s="57"/>
      <c r="L91" s="57" t="str">
        <f t="shared" ca="1" si="10"/>
        <v/>
      </c>
      <c r="M91" s="57" t="str">
        <f t="shared" ca="1" si="11"/>
        <v/>
      </c>
      <c r="N91" s="57">
        <f t="shared" ca="1" si="12"/>
        <v>18856698</v>
      </c>
    </row>
    <row r="92" spans="1:14">
      <c r="A92" s="105">
        <v>92</v>
      </c>
      <c r="B92" s="105" t="str">
        <f ca="1">VLOOKUP( $A92, Aop!$A$2:$P$456, 2, 0)</f>
        <v>BSp</v>
      </c>
      <c r="C92" s="105">
        <f t="shared" ca="1" si="13"/>
        <v>2</v>
      </c>
      <c r="D92" s="105" t="str">
        <f t="shared" ca="1" si="14"/>
        <v>01111329</v>
      </c>
      <c r="E92" s="105" t="str">
        <f t="shared" ca="1" si="15"/>
        <v>4400692320002</v>
      </c>
      <c r="F92" s="105" t="b">
        <f t="shared" ca="1" si="16"/>
        <v>0</v>
      </c>
      <c r="G92" s="140">
        <f t="shared" ca="1" si="17"/>
        <v>44742</v>
      </c>
      <c r="H92" s="105">
        <f ca="1">VLOOKUP( $A92, Aop!$A$2:$P$456, 4, 0)</f>
        <v>125</v>
      </c>
      <c r="I92" s="105">
        <f t="shared" ca="1" si="18"/>
        <v>2022</v>
      </c>
      <c r="J92" s="105"/>
      <c r="K92" s="57"/>
      <c r="L92" s="57" t="str">
        <f t="shared" ca="1" si="10"/>
        <v/>
      </c>
      <c r="M92" s="57" t="str">
        <f t="shared" ca="1" si="11"/>
        <v/>
      </c>
      <c r="N92" s="57">
        <f t="shared" ca="1" si="12"/>
        <v>2555784</v>
      </c>
    </row>
    <row r="93" spans="1:14">
      <c r="A93" s="105">
        <v>93</v>
      </c>
      <c r="B93" s="105" t="str">
        <f ca="1">VLOOKUP( $A93, Aop!$A$2:$P$456, 2, 0)</f>
        <v>BSp</v>
      </c>
      <c r="C93" s="105">
        <f t="shared" ca="1" si="13"/>
        <v>2</v>
      </c>
      <c r="D93" s="105" t="str">
        <f t="shared" ca="1" si="14"/>
        <v>01111329</v>
      </c>
      <c r="E93" s="105" t="str">
        <f t="shared" ca="1" si="15"/>
        <v>4400692320002</v>
      </c>
      <c r="F93" s="105" t="b">
        <f t="shared" ca="1" si="16"/>
        <v>0</v>
      </c>
      <c r="G93" s="140">
        <f t="shared" ca="1" si="17"/>
        <v>44742</v>
      </c>
      <c r="H93" s="105">
        <f ca="1">VLOOKUP( $A93, Aop!$A$2:$P$456, 4, 0)</f>
        <v>126</v>
      </c>
      <c r="I93" s="105">
        <f t="shared" ca="1" si="18"/>
        <v>2022</v>
      </c>
      <c r="J93" s="105"/>
      <c r="K93" s="57"/>
      <c r="L93" s="57" t="str">
        <f t="shared" ca="1" si="10"/>
        <v/>
      </c>
      <c r="M93" s="57" t="str">
        <f t="shared" ca="1" si="11"/>
        <v/>
      </c>
      <c r="N93" s="57">
        <f t="shared" ca="1" si="12"/>
        <v>16300914</v>
      </c>
    </row>
    <row r="94" spans="1:14">
      <c r="A94" s="105">
        <v>94</v>
      </c>
      <c r="B94" s="105" t="str">
        <f ca="1">VLOOKUP( $A94, Aop!$A$2:$P$456, 2, 0)</f>
        <v>BSp</v>
      </c>
      <c r="C94" s="105">
        <f t="shared" ca="1" si="13"/>
        <v>2</v>
      </c>
      <c r="D94" s="105" t="str">
        <f t="shared" ca="1" si="14"/>
        <v>01111329</v>
      </c>
      <c r="E94" s="105" t="str">
        <f t="shared" ca="1" si="15"/>
        <v>4400692320002</v>
      </c>
      <c r="F94" s="105" t="b">
        <f t="shared" ca="1" si="16"/>
        <v>0</v>
      </c>
      <c r="G94" s="140">
        <f t="shared" ca="1" si="17"/>
        <v>44742</v>
      </c>
      <c r="H94" s="105">
        <f ca="1">VLOOKUP( $A94, Aop!$A$2:$P$456, 4, 0)</f>
        <v>127</v>
      </c>
      <c r="I94" s="105">
        <f t="shared" ca="1" si="18"/>
        <v>2022</v>
      </c>
      <c r="J94" s="105"/>
      <c r="K94" s="57"/>
      <c r="L94" s="57" t="str">
        <f t="shared" ca="1" si="10"/>
        <v/>
      </c>
      <c r="M94" s="57" t="str">
        <f t="shared" ca="1" si="11"/>
        <v/>
      </c>
      <c r="N94" s="57" t="str">
        <f t="shared" ca="1" si="12"/>
        <v/>
      </c>
    </row>
    <row r="95" spans="1:14">
      <c r="A95" s="105">
        <v>95</v>
      </c>
      <c r="B95" s="105" t="str">
        <f ca="1">VLOOKUP( $A95, Aop!$A$2:$P$456, 2, 0)</f>
        <v>BSp</v>
      </c>
      <c r="C95" s="105">
        <f t="shared" ca="1" si="13"/>
        <v>2</v>
      </c>
      <c r="D95" s="105" t="str">
        <f t="shared" ca="1" si="14"/>
        <v>01111329</v>
      </c>
      <c r="E95" s="105" t="str">
        <f t="shared" ca="1" si="15"/>
        <v>4400692320002</v>
      </c>
      <c r="F95" s="105" t="b">
        <f t="shared" ca="1" si="16"/>
        <v>0</v>
      </c>
      <c r="G95" s="140">
        <f t="shared" ca="1" si="17"/>
        <v>44742</v>
      </c>
      <c r="H95" s="105">
        <f ca="1">VLOOKUP( $A95, Aop!$A$2:$P$456, 4, 0)</f>
        <v>128</v>
      </c>
      <c r="I95" s="105">
        <f t="shared" ca="1" si="18"/>
        <v>2022</v>
      </c>
      <c r="J95" s="105"/>
      <c r="K95" s="57"/>
      <c r="L95" s="57" t="str">
        <f t="shared" ca="1" si="10"/>
        <v/>
      </c>
      <c r="M95" s="57" t="str">
        <f t="shared" ca="1" si="11"/>
        <v/>
      </c>
      <c r="N95" s="57">
        <f t="shared" ca="1" si="12"/>
        <v>0</v>
      </c>
    </row>
    <row r="96" spans="1:14">
      <c r="A96" s="105">
        <v>96</v>
      </c>
      <c r="B96" s="105" t="str">
        <f ca="1">VLOOKUP( $A96, Aop!$A$2:$P$456, 2, 0)</f>
        <v>BSp</v>
      </c>
      <c r="C96" s="105">
        <f t="shared" ca="1" si="13"/>
        <v>2</v>
      </c>
      <c r="D96" s="105" t="str">
        <f t="shared" ca="1" si="14"/>
        <v>01111329</v>
      </c>
      <c r="E96" s="105" t="str">
        <f t="shared" ca="1" si="15"/>
        <v>4400692320002</v>
      </c>
      <c r="F96" s="105" t="b">
        <f t="shared" ca="1" si="16"/>
        <v>0</v>
      </c>
      <c r="G96" s="140">
        <f t="shared" ca="1" si="17"/>
        <v>44742</v>
      </c>
      <c r="H96" s="105">
        <f ca="1">VLOOKUP( $A96, Aop!$A$2:$P$456, 4, 0)</f>
        <v>129</v>
      </c>
      <c r="I96" s="105">
        <f t="shared" ca="1" si="18"/>
        <v>2022</v>
      </c>
      <c r="J96" s="105"/>
      <c r="K96" s="57"/>
      <c r="L96" s="57" t="str">
        <f t="shared" ca="1" si="10"/>
        <v/>
      </c>
      <c r="M96" s="57" t="str">
        <f t="shared" ca="1" si="11"/>
        <v/>
      </c>
      <c r="N96" s="57" t="str">
        <f t="shared" ca="1" si="12"/>
        <v/>
      </c>
    </row>
    <row r="97" spans="1:14">
      <c r="A97" s="105">
        <v>97</v>
      </c>
      <c r="B97" s="105" t="str">
        <f ca="1">VLOOKUP( $A97, Aop!$A$2:$P$456, 2, 0)</f>
        <v>BSp</v>
      </c>
      <c r="C97" s="105">
        <f t="shared" ca="1" si="13"/>
        <v>2</v>
      </c>
      <c r="D97" s="105" t="str">
        <f t="shared" ca="1" si="14"/>
        <v>01111329</v>
      </c>
      <c r="E97" s="105" t="str">
        <f t="shared" ca="1" si="15"/>
        <v>4400692320002</v>
      </c>
      <c r="F97" s="105" t="b">
        <f t="shared" ca="1" si="16"/>
        <v>0</v>
      </c>
      <c r="G97" s="140">
        <f t="shared" ca="1" si="17"/>
        <v>44742</v>
      </c>
      <c r="H97" s="105">
        <f ca="1">VLOOKUP( $A97, Aop!$A$2:$P$456, 4, 0)</f>
        <v>130</v>
      </c>
      <c r="I97" s="105">
        <f t="shared" ca="1" si="18"/>
        <v>2022</v>
      </c>
      <c r="J97" s="105"/>
      <c r="K97" s="57"/>
      <c r="L97" s="57" t="str">
        <f t="shared" ca="1" si="10"/>
        <v/>
      </c>
      <c r="M97" s="57" t="str">
        <f t="shared" ca="1" si="11"/>
        <v/>
      </c>
      <c r="N97" s="57" t="str">
        <f t="shared" ca="1" si="12"/>
        <v/>
      </c>
    </row>
    <row r="98" spans="1:14">
      <c r="A98" s="105">
        <v>98</v>
      </c>
      <c r="B98" s="105" t="str">
        <f ca="1">VLOOKUP( $A98, Aop!$A$2:$P$456, 2, 0)</f>
        <v>BSp</v>
      </c>
      <c r="C98" s="105">
        <f t="shared" ca="1" si="13"/>
        <v>2</v>
      </c>
      <c r="D98" s="105" t="str">
        <f t="shared" ca="1" si="14"/>
        <v>01111329</v>
      </c>
      <c r="E98" s="105" t="str">
        <f t="shared" ca="1" si="15"/>
        <v>4400692320002</v>
      </c>
      <c r="F98" s="105" t="b">
        <f t="shared" ca="1" si="16"/>
        <v>0</v>
      </c>
      <c r="G98" s="140">
        <f t="shared" ca="1" si="17"/>
        <v>44742</v>
      </c>
      <c r="H98" s="105">
        <f ca="1">VLOOKUP( $A98, Aop!$A$2:$P$456, 4, 0)</f>
        <v>131</v>
      </c>
      <c r="I98" s="105">
        <f t="shared" ca="1" si="18"/>
        <v>2022</v>
      </c>
      <c r="J98" s="105"/>
      <c r="K98" s="57"/>
      <c r="L98" s="57" t="str">
        <f t="shared" ca="1" si="10"/>
        <v/>
      </c>
      <c r="M98" s="57" t="str">
        <f t="shared" ca="1" si="11"/>
        <v/>
      </c>
      <c r="N98" s="57" t="str">
        <f t="shared" ca="1" si="12"/>
        <v/>
      </c>
    </row>
    <row r="99" spans="1:14">
      <c r="A99" s="105">
        <v>99</v>
      </c>
      <c r="B99" s="105" t="str">
        <f ca="1">VLOOKUP( $A99, Aop!$A$2:$P$456, 2, 0)</f>
        <v>BSp</v>
      </c>
      <c r="C99" s="105">
        <f t="shared" ca="1" si="13"/>
        <v>2</v>
      </c>
      <c r="D99" s="105" t="str">
        <f t="shared" ca="1" si="14"/>
        <v>01111329</v>
      </c>
      <c r="E99" s="105" t="str">
        <f t="shared" ca="1" si="15"/>
        <v>4400692320002</v>
      </c>
      <c r="F99" s="105" t="b">
        <f t="shared" ca="1" si="16"/>
        <v>0</v>
      </c>
      <c r="G99" s="140">
        <f t="shared" ca="1" si="17"/>
        <v>44742</v>
      </c>
      <c r="H99" s="105">
        <f ca="1">VLOOKUP( $A99, Aop!$A$2:$P$456, 4, 0)</f>
        <v>132</v>
      </c>
      <c r="I99" s="105">
        <f t="shared" ca="1" si="18"/>
        <v>2022</v>
      </c>
      <c r="J99" s="105"/>
      <c r="K99" s="57"/>
      <c r="L99" s="57" t="str">
        <f t="shared" ca="1" si="10"/>
        <v/>
      </c>
      <c r="M99" s="57" t="str">
        <f t="shared" ca="1" si="11"/>
        <v/>
      </c>
      <c r="N99" s="57">
        <f t="shared" ca="1" si="12"/>
        <v>0</v>
      </c>
    </row>
    <row r="100" spans="1:14">
      <c r="A100" s="105">
        <v>100</v>
      </c>
      <c r="B100" s="105" t="str">
        <f ca="1">VLOOKUP( $A100, Aop!$A$2:$P$456, 2, 0)</f>
        <v>BSp</v>
      </c>
      <c r="C100" s="105">
        <f t="shared" ca="1" si="13"/>
        <v>2</v>
      </c>
      <c r="D100" s="105" t="str">
        <f t="shared" ca="1" si="14"/>
        <v>01111329</v>
      </c>
      <c r="E100" s="105" t="str">
        <f t="shared" ca="1" si="15"/>
        <v>4400692320002</v>
      </c>
      <c r="F100" s="105" t="b">
        <f t="shared" ca="1" si="16"/>
        <v>0</v>
      </c>
      <c r="G100" s="140">
        <f t="shared" ca="1" si="17"/>
        <v>44742</v>
      </c>
      <c r="H100" s="105">
        <f ca="1">VLOOKUP( $A100, Aop!$A$2:$P$456, 4, 0)</f>
        <v>133</v>
      </c>
      <c r="I100" s="105">
        <f t="shared" ca="1" si="18"/>
        <v>2022</v>
      </c>
      <c r="J100" s="105"/>
      <c r="K100" s="57"/>
      <c r="L100" s="57" t="str">
        <f t="shared" ca="1" si="10"/>
        <v/>
      </c>
      <c r="M100" s="57" t="str">
        <f t="shared" ca="1" si="11"/>
        <v/>
      </c>
      <c r="N100" s="57">
        <f t="shared" ca="1" si="12"/>
        <v>0</v>
      </c>
    </row>
    <row r="101" spans="1:14">
      <c r="A101" s="105">
        <v>101</v>
      </c>
      <c r="B101" s="105" t="str">
        <f ca="1">VLOOKUP( $A101, Aop!$A$2:$P$456, 2, 0)</f>
        <v>BSp</v>
      </c>
      <c r="C101" s="105">
        <f t="shared" ca="1" si="13"/>
        <v>2</v>
      </c>
      <c r="D101" s="105" t="str">
        <f t="shared" ca="1" si="14"/>
        <v>01111329</v>
      </c>
      <c r="E101" s="105" t="str">
        <f t="shared" ca="1" si="15"/>
        <v>4400692320002</v>
      </c>
      <c r="F101" s="105" t="b">
        <f t="shared" ca="1" si="16"/>
        <v>0</v>
      </c>
      <c r="G101" s="140">
        <f t="shared" ca="1" si="17"/>
        <v>44742</v>
      </c>
      <c r="H101" s="105">
        <f ca="1">VLOOKUP( $A101, Aop!$A$2:$P$456, 4, 0)</f>
        <v>134</v>
      </c>
      <c r="I101" s="105">
        <f t="shared" ca="1" si="18"/>
        <v>2022</v>
      </c>
      <c r="J101" s="105"/>
      <c r="K101" s="57"/>
      <c r="L101" s="57" t="str">
        <f t="shared" ca="1" si="10"/>
        <v/>
      </c>
      <c r="M101" s="57" t="str">
        <f t="shared" ca="1" si="11"/>
        <v/>
      </c>
      <c r="N101" s="57" t="str">
        <f t="shared" ca="1" si="12"/>
        <v/>
      </c>
    </row>
    <row r="102" spans="1:14">
      <c r="A102" s="105">
        <v>102</v>
      </c>
      <c r="B102" s="105" t="str">
        <f ca="1">VLOOKUP( $A102, Aop!$A$2:$P$456, 2, 0)</f>
        <v>BSp</v>
      </c>
      <c r="C102" s="105">
        <f t="shared" ca="1" si="13"/>
        <v>2</v>
      </c>
      <c r="D102" s="105" t="str">
        <f t="shared" ca="1" si="14"/>
        <v>01111329</v>
      </c>
      <c r="E102" s="105" t="str">
        <f t="shared" ca="1" si="15"/>
        <v>4400692320002</v>
      </c>
      <c r="F102" s="105" t="b">
        <f t="shared" ca="1" si="16"/>
        <v>0</v>
      </c>
      <c r="G102" s="140">
        <f t="shared" ca="1" si="17"/>
        <v>44742</v>
      </c>
      <c r="H102" s="105">
        <f ca="1">VLOOKUP( $A102, Aop!$A$2:$P$456, 4, 0)</f>
        <v>135</v>
      </c>
      <c r="I102" s="105">
        <f t="shared" ca="1" si="18"/>
        <v>2022</v>
      </c>
      <c r="J102" s="105"/>
      <c r="K102" s="57"/>
      <c r="L102" s="57" t="str">
        <f t="shared" ca="1" si="10"/>
        <v/>
      </c>
      <c r="M102" s="57" t="str">
        <f t="shared" ca="1" si="11"/>
        <v/>
      </c>
      <c r="N102" s="57" t="str">
        <f t="shared" ca="1" si="12"/>
        <v/>
      </c>
    </row>
    <row r="103" spans="1:14">
      <c r="A103" s="105">
        <v>103</v>
      </c>
      <c r="B103" s="105" t="str">
        <f ca="1">VLOOKUP( $A103, Aop!$A$2:$P$456, 2, 0)</f>
        <v>BSp</v>
      </c>
      <c r="C103" s="105">
        <f t="shared" ca="1" si="13"/>
        <v>2</v>
      </c>
      <c r="D103" s="105" t="str">
        <f t="shared" ca="1" si="14"/>
        <v>01111329</v>
      </c>
      <c r="E103" s="105" t="str">
        <f t="shared" ca="1" si="15"/>
        <v>4400692320002</v>
      </c>
      <c r="F103" s="105" t="b">
        <f t="shared" ca="1" si="16"/>
        <v>0</v>
      </c>
      <c r="G103" s="140">
        <f t="shared" ca="1" si="17"/>
        <v>44742</v>
      </c>
      <c r="H103" s="105">
        <f ca="1">VLOOKUP( $A103, Aop!$A$2:$P$456, 4, 0)</f>
        <v>136</v>
      </c>
      <c r="I103" s="105">
        <f t="shared" ca="1" si="18"/>
        <v>2022</v>
      </c>
      <c r="J103" s="105"/>
      <c r="K103" s="57"/>
      <c r="L103" s="57" t="str">
        <f t="shared" ca="1" si="10"/>
        <v/>
      </c>
      <c r="M103" s="57" t="str">
        <f t="shared" ca="1" si="11"/>
        <v/>
      </c>
      <c r="N103" s="57" t="str">
        <f t="shared" ca="1" si="12"/>
        <v/>
      </c>
    </row>
    <row r="104" spans="1:14">
      <c r="A104" s="105">
        <v>104</v>
      </c>
      <c r="B104" s="105" t="str">
        <f ca="1">VLOOKUP( $A104, Aop!$A$2:$P$456, 2, 0)</f>
        <v>BSp</v>
      </c>
      <c r="C104" s="105">
        <f t="shared" ca="1" si="13"/>
        <v>2</v>
      </c>
      <c r="D104" s="105" t="str">
        <f t="shared" ca="1" si="14"/>
        <v>01111329</v>
      </c>
      <c r="E104" s="105" t="str">
        <f t="shared" ca="1" si="15"/>
        <v>4400692320002</v>
      </c>
      <c r="F104" s="105" t="b">
        <f t="shared" ca="1" si="16"/>
        <v>0</v>
      </c>
      <c r="G104" s="140">
        <f t="shared" ca="1" si="17"/>
        <v>44742</v>
      </c>
      <c r="H104" s="105">
        <f ca="1">VLOOKUP( $A104, Aop!$A$2:$P$456, 4, 0)</f>
        <v>137</v>
      </c>
      <c r="I104" s="105">
        <f t="shared" ca="1" si="18"/>
        <v>2022</v>
      </c>
      <c r="J104" s="105"/>
      <c r="K104" s="57"/>
      <c r="L104" s="57" t="str">
        <f t="shared" ca="1" si="10"/>
        <v/>
      </c>
      <c r="M104" s="57" t="str">
        <f t="shared" ca="1" si="11"/>
        <v/>
      </c>
      <c r="N104" s="57">
        <f t="shared" ca="1" si="12"/>
        <v>0</v>
      </c>
    </row>
    <row r="105" spans="1:14">
      <c r="A105" s="105">
        <v>105</v>
      </c>
      <c r="B105" s="105" t="str">
        <f ca="1">VLOOKUP( $A105, Aop!$A$2:$P$456, 2, 0)</f>
        <v>BSp</v>
      </c>
      <c r="C105" s="105">
        <f t="shared" ca="1" si="13"/>
        <v>2</v>
      </c>
      <c r="D105" s="105" t="str">
        <f t="shared" ca="1" si="14"/>
        <v>01111329</v>
      </c>
      <c r="E105" s="105" t="str">
        <f t="shared" ca="1" si="15"/>
        <v>4400692320002</v>
      </c>
      <c r="F105" s="105" t="b">
        <f t="shared" ca="1" si="16"/>
        <v>0</v>
      </c>
      <c r="G105" s="140">
        <f t="shared" ca="1" si="17"/>
        <v>44742</v>
      </c>
      <c r="H105" s="105">
        <f ca="1">VLOOKUP( $A105, Aop!$A$2:$P$456, 4, 0)</f>
        <v>138</v>
      </c>
      <c r="I105" s="105">
        <f t="shared" ca="1" si="18"/>
        <v>2022</v>
      </c>
      <c r="J105" s="105"/>
      <c r="K105" s="57"/>
      <c r="L105" s="57" t="str">
        <f t="shared" ca="1" si="10"/>
        <v/>
      </c>
      <c r="M105" s="57" t="str">
        <f t="shared" ca="1" si="11"/>
        <v/>
      </c>
      <c r="N105" s="57" t="str">
        <f t="shared" ca="1" si="12"/>
        <v/>
      </c>
    </row>
    <row r="106" spans="1:14">
      <c r="A106" s="105">
        <v>106</v>
      </c>
      <c r="B106" s="105" t="str">
        <f ca="1">VLOOKUP( $A106, Aop!$A$2:$P$456, 2, 0)</f>
        <v>BSp</v>
      </c>
      <c r="C106" s="105">
        <f t="shared" ca="1" si="13"/>
        <v>2</v>
      </c>
      <c r="D106" s="105" t="str">
        <f t="shared" ca="1" si="14"/>
        <v>01111329</v>
      </c>
      <c r="E106" s="105" t="str">
        <f t="shared" ca="1" si="15"/>
        <v>4400692320002</v>
      </c>
      <c r="F106" s="105" t="b">
        <f t="shared" ca="1" si="16"/>
        <v>0</v>
      </c>
      <c r="G106" s="140">
        <f t="shared" ca="1" si="17"/>
        <v>44742</v>
      </c>
      <c r="H106" s="105">
        <f ca="1">VLOOKUP( $A106, Aop!$A$2:$P$456, 4, 0)</f>
        <v>139</v>
      </c>
      <c r="I106" s="105">
        <f t="shared" ca="1" si="18"/>
        <v>2022</v>
      </c>
      <c r="J106" s="105"/>
      <c r="K106" s="57"/>
      <c r="L106" s="57" t="str">
        <f t="shared" ca="1" si="10"/>
        <v/>
      </c>
      <c r="M106" s="57" t="str">
        <f t="shared" ca="1" si="11"/>
        <v/>
      </c>
      <c r="N106" s="57" t="str">
        <f t="shared" ca="1" si="12"/>
        <v/>
      </c>
    </row>
    <row r="107" spans="1:14">
      <c r="A107" s="105">
        <v>107</v>
      </c>
      <c r="B107" s="105" t="str">
        <f ca="1">VLOOKUP( $A107, Aop!$A$2:$P$456, 2, 0)</f>
        <v>BSp</v>
      </c>
      <c r="C107" s="105">
        <f t="shared" ca="1" si="13"/>
        <v>2</v>
      </c>
      <c r="D107" s="105" t="str">
        <f t="shared" ca="1" si="14"/>
        <v>01111329</v>
      </c>
      <c r="E107" s="105" t="str">
        <f t="shared" ca="1" si="15"/>
        <v>4400692320002</v>
      </c>
      <c r="F107" s="105" t="b">
        <f t="shared" ca="1" si="16"/>
        <v>0</v>
      </c>
      <c r="G107" s="140">
        <f t="shared" ca="1" si="17"/>
        <v>44742</v>
      </c>
      <c r="H107" s="105">
        <f ca="1">VLOOKUP( $A107, Aop!$A$2:$P$456, 4, 0)</f>
        <v>140</v>
      </c>
      <c r="I107" s="105">
        <f t="shared" ca="1" si="18"/>
        <v>2022</v>
      </c>
      <c r="J107" s="105"/>
      <c r="K107" s="57"/>
      <c r="L107" s="57" t="str">
        <f t="shared" ca="1" si="10"/>
        <v/>
      </c>
      <c r="M107" s="57" t="str">
        <f t="shared" ca="1" si="11"/>
        <v/>
      </c>
      <c r="N107" s="57" t="str">
        <f t="shared" ca="1" si="12"/>
        <v/>
      </c>
    </row>
    <row r="108" spans="1:14">
      <c r="A108" s="105">
        <v>108</v>
      </c>
      <c r="B108" s="105" t="str">
        <f ca="1">VLOOKUP( $A108, Aop!$A$2:$P$456, 2, 0)</f>
        <v>BSp</v>
      </c>
      <c r="C108" s="105">
        <f t="shared" ca="1" si="13"/>
        <v>2</v>
      </c>
      <c r="D108" s="105" t="str">
        <f t="shared" ca="1" si="14"/>
        <v>01111329</v>
      </c>
      <c r="E108" s="105" t="str">
        <f t="shared" ca="1" si="15"/>
        <v>4400692320002</v>
      </c>
      <c r="F108" s="105" t="b">
        <f t="shared" ca="1" si="16"/>
        <v>0</v>
      </c>
      <c r="G108" s="140">
        <f t="shared" ca="1" si="17"/>
        <v>44742</v>
      </c>
      <c r="H108" s="105">
        <f ca="1">VLOOKUP( $A108, Aop!$A$2:$P$456, 4, 0)</f>
        <v>141</v>
      </c>
      <c r="I108" s="105">
        <f t="shared" ca="1" si="18"/>
        <v>2022</v>
      </c>
      <c r="J108" s="105"/>
      <c r="K108" s="57"/>
      <c r="L108" s="57" t="str">
        <f t="shared" ca="1" si="10"/>
        <v/>
      </c>
      <c r="M108" s="57" t="str">
        <f t="shared" ca="1" si="11"/>
        <v/>
      </c>
      <c r="N108" s="57" t="str">
        <f t="shared" ca="1" si="12"/>
        <v/>
      </c>
    </row>
    <row r="109" spans="1:14">
      <c r="A109" s="105">
        <v>109</v>
      </c>
      <c r="B109" s="105" t="str">
        <f ca="1">VLOOKUP( $A109, Aop!$A$2:$P$456, 2, 0)</f>
        <v>BSp</v>
      </c>
      <c r="C109" s="105">
        <f t="shared" ca="1" si="13"/>
        <v>2</v>
      </c>
      <c r="D109" s="105" t="str">
        <f t="shared" ca="1" si="14"/>
        <v>01111329</v>
      </c>
      <c r="E109" s="105" t="str">
        <f t="shared" ca="1" si="15"/>
        <v>4400692320002</v>
      </c>
      <c r="F109" s="105" t="b">
        <f t="shared" ca="1" si="16"/>
        <v>0</v>
      </c>
      <c r="G109" s="140">
        <f t="shared" ca="1" si="17"/>
        <v>44742</v>
      </c>
      <c r="H109" s="105">
        <f ca="1">VLOOKUP( $A109, Aop!$A$2:$P$456, 4, 0)</f>
        <v>142</v>
      </c>
      <c r="I109" s="105">
        <f t="shared" ca="1" si="18"/>
        <v>2022</v>
      </c>
      <c r="J109" s="105"/>
      <c r="K109" s="57"/>
      <c r="L109" s="57" t="str">
        <f t="shared" ca="1" si="10"/>
        <v/>
      </c>
      <c r="M109" s="57" t="str">
        <f t="shared" ca="1" si="11"/>
        <v/>
      </c>
      <c r="N109" s="57" t="str">
        <f t="shared" ca="1" si="12"/>
        <v/>
      </c>
    </row>
    <row r="110" spans="1:14">
      <c r="A110" s="105">
        <v>110</v>
      </c>
      <c r="B110" s="105" t="str">
        <f ca="1">VLOOKUP( $A110, Aop!$A$2:$P$456, 2, 0)</f>
        <v>BSp</v>
      </c>
      <c r="C110" s="105">
        <f t="shared" ca="1" si="13"/>
        <v>2</v>
      </c>
      <c r="D110" s="105" t="str">
        <f t="shared" ca="1" si="14"/>
        <v>01111329</v>
      </c>
      <c r="E110" s="105" t="str">
        <f t="shared" ca="1" si="15"/>
        <v>4400692320002</v>
      </c>
      <c r="F110" s="105" t="b">
        <f t="shared" ca="1" si="16"/>
        <v>0</v>
      </c>
      <c r="G110" s="140">
        <f t="shared" ca="1" si="17"/>
        <v>44742</v>
      </c>
      <c r="H110" s="105">
        <f ca="1">VLOOKUP( $A110, Aop!$A$2:$P$456, 4, 0)</f>
        <v>143</v>
      </c>
      <c r="I110" s="105">
        <f t="shared" ca="1" si="18"/>
        <v>2022</v>
      </c>
      <c r="J110" s="105"/>
      <c r="K110" s="57"/>
      <c r="L110" s="57" t="str">
        <f t="shared" ca="1" si="10"/>
        <v/>
      </c>
      <c r="M110" s="57" t="str">
        <f t="shared" ca="1" si="11"/>
        <v/>
      </c>
      <c r="N110" s="57" t="str">
        <f t="shared" ca="1" si="12"/>
        <v/>
      </c>
    </row>
    <row r="111" spans="1:14">
      <c r="A111" s="105">
        <v>111</v>
      </c>
      <c r="B111" s="105" t="str">
        <f ca="1">VLOOKUP( $A111, Aop!$A$2:$P$456, 2, 0)</f>
        <v>BSp</v>
      </c>
      <c r="C111" s="105">
        <f t="shared" ca="1" si="13"/>
        <v>2</v>
      </c>
      <c r="D111" s="105" t="str">
        <f t="shared" ca="1" si="14"/>
        <v>01111329</v>
      </c>
      <c r="E111" s="105" t="str">
        <f t="shared" ca="1" si="15"/>
        <v>4400692320002</v>
      </c>
      <c r="F111" s="105" t="b">
        <f t="shared" ca="1" si="16"/>
        <v>0</v>
      </c>
      <c r="G111" s="140">
        <f t="shared" ca="1" si="17"/>
        <v>44742</v>
      </c>
      <c r="H111" s="105">
        <f ca="1">VLOOKUP( $A111, Aop!$A$2:$P$456, 4, 0)</f>
        <v>144</v>
      </c>
      <c r="I111" s="105">
        <f t="shared" ca="1" si="18"/>
        <v>2022</v>
      </c>
      <c r="J111" s="105"/>
      <c r="K111" s="57"/>
      <c r="L111" s="57" t="str">
        <f t="shared" ca="1" si="10"/>
        <v/>
      </c>
      <c r="M111" s="57" t="str">
        <f t="shared" ca="1" si="11"/>
        <v/>
      </c>
      <c r="N111" s="57" t="str">
        <f t="shared" ca="1" si="12"/>
        <v/>
      </c>
    </row>
    <row r="112" spans="1:14">
      <c r="A112" s="105">
        <v>112</v>
      </c>
      <c r="B112" s="105" t="str">
        <f ca="1">VLOOKUP( $A112, Aop!$A$2:$P$456, 2, 0)</f>
        <v>BSp</v>
      </c>
      <c r="C112" s="105">
        <f t="shared" ca="1" si="13"/>
        <v>2</v>
      </c>
      <c r="D112" s="105" t="str">
        <f t="shared" ca="1" si="14"/>
        <v>01111329</v>
      </c>
      <c r="E112" s="105" t="str">
        <f t="shared" ca="1" si="15"/>
        <v>4400692320002</v>
      </c>
      <c r="F112" s="105" t="b">
        <f t="shared" ca="1" si="16"/>
        <v>0</v>
      </c>
      <c r="G112" s="140">
        <f t="shared" ca="1" si="17"/>
        <v>44742</v>
      </c>
      <c r="H112" s="105">
        <f ca="1">VLOOKUP( $A112, Aop!$A$2:$P$456, 4, 0)</f>
        <v>145</v>
      </c>
      <c r="I112" s="105">
        <f t="shared" ca="1" si="18"/>
        <v>2022</v>
      </c>
      <c r="J112" s="105"/>
      <c r="K112" s="57"/>
      <c r="L112" s="57" t="str">
        <f t="shared" ca="1" si="10"/>
        <v/>
      </c>
      <c r="M112" s="57" t="str">
        <f t="shared" ca="1" si="11"/>
        <v/>
      </c>
      <c r="N112" s="57" t="str">
        <f t="shared" ca="1" si="12"/>
        <v/>
      </c>
    </row>
    <row r="113" spans="1:14">
      <c r="A113" s="105">
        <v>113</v>
      </c>
      <c r="B113" s="105" t="str">
        <f ca="1">VLOOKUP( $A113, Aop!$A$2:$P$456, 2, 0)</f>
        <v>BSp</v>
      </c>
      <c r="C113" s="105">
        <f t="shared" ca="1" si="13"/>
        <v>2</v>
      </c>
      <c r="D113" s="105" t="str">
        <f t="shared" ca="1" si="14"/>
        <v>01111329</v>
      </c>
      <c r="E113" s="105" t="str">
        <f t="shared" ca="1" si="15"/>
        <v>4400692320002</v>
      </c>
      <c r="F113" s="105" t="b">
        <f t="shared" ca="1" si="16"/>
        <v>0</v>
      </c>
      <c r="G113" s="140">
        <f t="shared" ca="1" si="17"/>
        <v>44742</v>
      </c>
      <c r="H113" s="105">
        <f ca="1">VLOOKUP( $A113, Aop!$A$2:$P$456, 4, 0)</f>
        <v>146</v>
      </c>
      <c r="I113" s="105">
        <f t="shared" ca="1" si="18"/>
        <v>2022</v>
      </c>
      <c r="J113" s="105"/>
      <c r="K113" s="57"/>
      <c r="L113" s="57" t="str">
        <f t="shared" ca="1" si="10"/>
        <v/>
      </c>
      <c r="M113" s="57" t="str">
        <f t="shared" ca="1" si="11"/>
        <v/>
      </c>
      <c r="N113" s="57" t="str">
        <f t="shared" ca="1" si="12"/>
        <v/>
      </c>
    </row>
    <row r="114" spans="1:14">
      <c r="A114" s="105">
        <v>114</v>
      </c>
      <c r="B114" s="105" t="str">
        <f ca="1">VLOOKUP( $A114, Aop!$A$2:$P$456, 2, 0)</f>
        <v>BSp</v>
      </c>
      <c r="C114" s="105">
        <f t="shared" ca="1" si="13"/>
        <v>2</v>
      </c>
      <c r="D114" s="105" t="str">
        <f t="shared" ca="1" si="14"/>
        <v>01111329</v>
      </c>
      <c r="E114" s="105" t="str">
        <f t="shared" ca="1" si="15"/>
        <v>4400692320002</v>
      </c>
      <c r="F114" s="105" t="b">
        <f t="shared" ca="1" si="16"/>
        <v>0</v>
      </c>
      <c r="G114" s="140">
        <f t="shared" ca="1" si="17"/>
        <v>44742</v>
      </c>
      <c r="H114" s="105">
        <f ca="1">VLOOKUP( $A114, Aop!$A$2:$P$456, 4, 0)</f>
        <v>147</v>
      </c>
      <c r="I114" s="105">
        <f t="shared" ca="1" si="18"/>
        <v>2022</v>
      </c>
      <c r="J114" s="105"/>
      <c r="K114" s="57"/>
      <c r="L114" s="57" t="str">
        <f t="shared" ca="1" si="10"/>
        <v/>
      </c>
      <c r="M114" s="57" t="str">
        <f t="shared" ca="1" si="11"/>
        <v/>
      </c>
      <c r="N114" s="57">
        <f t="shared" ca="1" si="12"/>
        <v>786101</v>
      </c>
    </row>
    <row r="115" spans="1:14">
      <c r="A115" s="105">
        <v>115</v>
      </c>
      <c r="B115" s="105" t="str">
        <f ca="1">VLOOKUP( $A115, Aop!$A$2:$P$456, 2, 0)</f>
        <v>BSp</v>
      </c>
      <c r="C115" s="105">
        <f t="shared" ca="1" si="13"/>
        <v>2</v>
      </c>
      <c r="D115" s="105" t="str">
        <f t="shared" ca="1" si="14"/>
        <v>01111329</v>
      </c>
      <c r="E115" s="105" t="str">
        <f t="shared" ca="1" si="15"/>
        <v>4400692320002</v>
      </c>
      <c r="F115" s="105" t="b">
        <f t="shared" ca="1" si="16"/>
        <v>0</v>
      </c>
      <c r="G115" s="140">
        <f t="shared" ca="1" si="17"/>
        <v>44742</v>
      </c>
      <c r="H115" s="105">
        <f ca="1">VLOOKUP( $A115, Aop!$A$2:$P$456, 4, 0)</f>
        <v>148</v>
      </c>
      <c r="I115" s="105">
        <f t="shared" ca="1" si="18"/>
        <v>2022</v>
      </c>
      <c r="J115" s="105"/>
      <c r="K115" s="57"/>
      <c r="L115" s="57" t="str">
        <f t="shared" ca="1" si="10"/>
        <v/>
      </c>
      <c r="M115" s="57" t="str">
        <f t="shared" ca="1" si="11"/>
        <v/>
      </c>
      <c r="N115" s="57">
        <f t="shared" ca="1" si="12"/>
        <v>0</v>
      </c>
    </row>
    <row r="116" spans="1:14">
      <c r="A116" s="105">
        <v>116</v>
      </c>
      <c r="B116" s="105" t="str">
        <f ca="1">VLOOKUP( $A116, Aop!$A$2:$P$456, 2, 0)</f>
        <v>BSp</v>
      </c>
      <c r="C116" s="105">
        <f t="shared" ca="1" si="13"/>
        <v>2</v>
      </c>
      <c r="D116" s="105" t="str">
        <f t="shared" ca="1" si="14"/>
        <v>01111329</v>
      </c>
      <c r="E116" s="105" t="str">
        <f t="shared" ca="1" si="15"/>
        <v>4400692320002</v>
      </c>
      <c r="F116" s="105" t="b">
        <f t="shared" ca="1" si="16"/>
        <v>0</v>
      </c>
      <c r="G116" s="140">
        <f t="shared" ca="1" si="17"/>
        <v>44742</v>
      </c>
      <c r="H116" s="105">
        <f ca="1">VLOOKUP( $A116, Aop!$A$2:$P$456, 4, 0)</f>
        <v>149</v>
      </c>
      <c r="I116" s="105">
        <f t="shared" ca="1" si="18"/>
        <v>2022</v>
      </c>
      <c r="J116" s="105"/>
      <c r="K116" s="57"/>
      <c r="L116" s="57" t="str">
        <f t="shared" ca="1" si="10"/>
        <v/>
      </c>
      <c r="M116" s="57" t="str">
        <f t="shared" ca="1" si="11"/>
        <v/>
      </c>
      <c r="N116" s="57" t="str">
        <f t="shared" ca="1" si="12"/>
        <v/>
      </c>
    </row>
    <row r="117" spans="1:14">
      <c r="A117" s="105">
        <v>117</v>
      </c>
      <c r="B117" s="105" t="str">
        <f ca="1">VLOOKUP( $A117, Aop!$A$2:$P$456, 2, 0)</f>
        <v>BSp</v>
      </c>
      <c r="C117" s="105">
        <f t="shared" ca="1" si="13"/>
        <v>2</v>
      </c>
      <c r="D117" s="105" t="str">
        <f t="shared" ca="1" si="14"/>
        <v>01111329</v>
      </c>
      <c r="E117" s="105" t="str">
        <f t="shared" ca="1" si="15"/>
        <v>4400692320002</v>
      </c>
      <c r="F117" s="105" t="b">
        <f t="shared" ca="1" si="16"/>
        <v>0</v>
      </c>
      <c r="G117" s="140">
        <f t="shared" ca="1" si="17"/>
        <v>44742</v>
      </c>
      <c r="H117" s="105">
        <f ca="1">VLOOKUP( $A117, Aop!$A$2:$P$456, 4, 0)</f>
        <v>150</v>
      </c>
      <c r="I117" s="105">
        <f t="shared" ca="1" si="18"/>
        <v>2022</v>
      </c>
      <c r="J117" s="105"/>
      <c r="K117" s="57"/>
      <c r="L117" s="57" t="str">
        <f t="shared" ca="1" si="10"/>
        <v/>
      </c>
      <c r="M117" s="57" t="str">
        <f t="shared" ca="1" si="11"/>
        <v/>
      </c>
      <c r="N117" s="57" t="str">
        <f t="shared" ca="1" si="12"/>
        <v/>
      </c>
    </row>
    <row r="118" spans="1:14">
      <c r="A118" s="105">
        <v>118</v>
      </c>
      <c r="B118" s="105" t="str">
        <f ca="1">VLOOKUP( $A118, Aop!$A$2:$P$456, 2, 0)</f>
        <v>BSp</v>
      </c>
      <c r="C118" s="105">
        <f t="shared" ca="1" si="13"/>
        <v>2</v>
      </c>
      <c r="D118" s="105" t="str">
        <f t="shared" ca="1" si="14"/>
        <v>01111329</v>
      </c>
      <c r="E118" s="105" t="str">
        <f t="shared" ca="1" si="15"/>
        <v>4400692320002</v>
      </c>
      <c r="F118" s="105" t="b">
        <f t="shared" ca="1" si="16"/>
        <v>0</v>
      </c>
      <c r="G118" s="140">
        <f t="shared" ca="1" si="17"/>
        <v>44742</v>
      </c>
      <c r="H118" s="105">
        <f ca="1">VLOOKUP( $A118, Aop!$A$2:$P$456, 4, 0)</f>
        <v>151</v>
      </c>
      <c r="I118" s="105">
        <f t="shared" ca="1" si="18"/>
        <v>2022</v>
      </c>
      <c r="J118" s="105"/>
      <c r="K118" s="57"/>
      <c r="L118" s="57" t="str">
        <f t="shared" ca="1" si="10"/>
        <v/>
      </c>
      <c r="M118" s="57" t="str">
        <f t="shared" ca="1" si="11"/>
        <v/>
      </c>
      <c r="N118" s="57" t="str">
        <f t="shared" ca="1" si="12"/>
        <v/>
      </c>
    </row>
    <row r="119" spans="1:14">
      <c r="A119" s="105">
        <v>119</v>
      </c>
      <c r="B119" s="105" t="str">
        <f ca="1">VLOOKUP( $A119, Aop!$A$2:$P$456, 2, 0)</f>
        <v>BSp</v>
      </c>
      <c r="C119" s="105">
        <f t="shared" ca="1" si="13"/>
        <v>2</v>
      </c>
      <c r="D119" s="105" t="str">
        <f t="shared" ca="1" si="14"/>
        <v>01111329</v>
      </c>
      <c r="E119" s="105" t="str">
        <f t="shared" ca="1" si="15"/>
        <v>4400692320002</v>
      </c>
      <c r="F119" s="105" t="b">
        <f t="shared" ca="1" si="16"/>
        <v>0</v>
      </c>
      <c r="G119" s="140">
        <f t="shared" ca="1" si="17"/>
        <v>44742</v>
      </c>
      <c r="H119" s="105">
        <f ca="1">VLOOKUP( $A119, Aop!$A$2:$P$456, 4, 0)</f>
        <v>152</v>
      </c>
      <c r="I119" s="105">
        <f t="shared" ca="1" si="18"/>
        <v>2022</v>
      </c>
      <c r="J119" s="105"/>
      <c r="K119" s="57"/>
      <c r="L119" s="57" t="str">
        <f t="shared" ca="1" si="10"/>
        <v/>
      </c>
      <c r="M119" s="57" t="str">
        <f t="shared" ca="1" si="11"/>
        <v/>
      </c>
      <c r="N119" s="57" t="str">
        <f t="shared" ca="1" si="12"/>
        <v/>
      </c>
    </row>
    <row r="120" spans="1:14">
      <c r="A120" s="105">
        <v>120</v>
      </c>
      <c r="B120" s="105" t="str">
        <f ca="1">VLOOKUP( $A120, Aop!$A$2:$P$456, 2, 0)</f>
        <v>BSp</v>
      </c>
      <c r="C120" s="105">
        <f t="shared" ca="1" si="13"/>
        <v>2</v>
      </c>
      <c r="D120" s="105" t="str">
        <f t="shared" ca="1" si="14"/>
        <v>01111329</v>
      </c>
      <c r="E120" s="105" t="str">
        <f t="shared" ca="1" si="15"/>
        <v>4400692320002</v>
      </c>
      <c r="F120" s="105" t="b">
        <f t="shared" ca="1" si="16"/>
        <v>0</v>
      </c>
      <c r="G120" s="140">
        <f t="shared" ca="1" si="17"/>
        <v>44742</v>
      </c>
      <c r="H120" s="105">
        <f ca="1">VLOOKUP( $A120, Aop!$A$2:$P$456, 4, 0)</f>
        <v>153</v>
      </c>
      <c r="I120" s="105">
        <f t="shared" ca="1" si="18"/>
        <v>2022</v>
      </c>
      <c r="J120" s="105"/>
      <c r="K120" s="57"/>
      <c r="L120" s="57" t="str">
        <f t="shared" ca="1" si="10"/>
        <v/>
      </c>
      <c r="M120" s="57" t="str">
        <f t="shared" ca="1" si="11"/>
        <v/>
      </c>
      <c r="N120" s="57" t="str">
        <f t="shared" ca="1" si="12"/>
        <v/>
      </c>
    </row>
    <row r="121" spans="1:14">
      <c r="A121" s="105">
        <v>121</v>
      </c>
      <c r="B121" s="105" t="str">
        <f ca="1">VLOOKUP( $A121, Aop!$A$2:$P$456, 2, 0)</f>
        <v>BSp</v>
      </c>
      <c r="C121" s="105">
        <f t="shared" ca="1" si="13"/>
        <v>2</v>
      </c>
      <c r="D121" s="105" t="str">
        <f t="shared" ca="1" si="14"/>
        <v>01111329</v>
      </c>
      <c r="E121" s="105" t="str">
        <f t="shared" ca="1" si="15"/>
        <v>4400692320002</v>
      </c>
      <c r="F121" s="105" t="b">
        <f t="shared" ca="1" si="16"/>
        <v>0</v>
      </c>
      <c r="G121" s="140">
        <f t="shared" ca="1" si="17"/>
        <v>44742</v>
      </c>
      <c r="H121" s="105">
        <f ca="1">VLOOKUP( $A121, Aop!$A$2:$P$456, 4, 0)</f>
        <v>154</v>
      </c>
      <c r="I121" s="105">
        <f t="shared" ca="1" si="18"/>
        <v>2022</v>
      </c>
      <c r="J121" s="105"/>
      <c r="K121" s="57"/>
      <c r="L121" s="57" t="str">
        <f t="shared" ca="1" si="10"/>
        <v/>
      </c>
      <c r="M121" s="57" t="str">
        <f t="shared" ca="1" si="11"/>
        <v/>
      </c>
      <c r="N121" s="57" t="str">
        <f t="shared" ca="1" si="12"/>
        <v/>
      </c>
    </row>
    <row r="122" spans="1:14">
      <c r="A122" s="105">
        <v>122</v>
      </c>
      <c r="B122" s="105" t="str">
        <f ca="1">VLOOKUP( $A122, Aop!$A$2:$P$456, 2, 0)</f>
        <v>BSp</v>
      </c>
      <c r="C122" s="105">
        <f t="shared" ca="1" si="13"/>
        <v>2</v>
      </c>
      <c r="D122" s="105" t="str">
        <f t="shared" ca="1" si="14"/>
        <v>01111329</v>
      </c>
      <c r="E122" s="105" t="str">
        <f t="shared" ca="1" si="15"/>
        <v>4400692320002</v>
      </c>
      <c r="F122" s="105" t="b">
        <f t="shared" ca="1" si="16"/>
        <v>0</v>
      </c>
      <c r="G122" s="140">
        <f t="shared" ca="1" si="17"/>
        <v>44742</v>
      </c>
      <c r="H122" s="105">
        <f ca="1">VLOOKUP( $A122, Aop!$A$2:$P$456, 4, 0)</f>
        <v>155</v>
      </c>
      <c r="I122" s="105">
        <f t="shared" ca="1" si="18"/>
        <v>2022</v>
      </c>
      <c r="J122" s="105"/>
      <c r="K122" s="57"/>
      <c r="L122" s="57" t="str">
        <f t="shared" ca="1" si="10"/>
        <v/>
      </c>
      <c r="M122" s="57" t="str">
        <f t="shared" ca="1" si="11"/>
        <v/>
      </c>
      <c r="N122" s="57">
        <f t="shared" ca="1" si="12"/>
        <v>22781</v>
      </c>
    </row>
    <row r="123" spans="1:14">
      <c r="A123" s="105">
        <v>123</v>
      </c>
      <c r="B123" s="105" t="str">
        <f ca="1">VLOOKUP( $A123, Aop!$A$2:$P$456, 2, 0)</f>
        <v>BSp</v>
      </c>
      <c r="C123" s="105">
        <f t="shared" ca="1" si="13"/>
        <v>2</v>
      </c>
      <c r="D123" s="105" t="str">
        <f t="shared" ca="1" si="14"/>
        <v>01111329</v>
      </c>
      <c r="E123" s="105" t="str">
        <f t="shared" ca="1" si="15"/>
        <v>4400692320002</v>
      </c>
      <c r="F123" s="105" t="b">
        <f t="shared" ca="1" si="16"/>
        <v>0</v>
      </c>
      <c r="G123" s="140">
        <f t="shared" ca="1" si="17"/>
        <v>44742</v>
      </c>
      <c r="H123" s="105">
        <f ca="1">VLOOKUP( $A123, Aop!$A$2:$P$456, 4, 0)</f>
        <v>156</v>
      </c>
      <c r="I123" s="105">
        <f t="shared" ca="1" si="18"/>
        <v>2022</v>
      </c>
      <c r="J123" s="105"/>
      <c r="K123" s="57"/>
      <c r="L123" s="57" t="str">
        <f t="shared" ca="1" si="10"/>
        <v/>
      </c>
      <c r="M123" s="57" t="str">
        <f t="shared" ca="1" si="11"/>
        <v/>
      </c>
      <c r="N123" s="57">
        <f t="shared" ca="1" si="12"/>
        <v>5676</v>
      </c>
    </row>
    <row r="124" spans="1:14">
      <c r="A124" s="105">
        <v>124</v>
      </c>
      <c r="B124" s="105" t="str">
        <f ca="1">VLOOKUP( $A124, Aop!$A$2:$P$456, 2, 0)</f>
        <v>BSp</v>
      </c>
      <c r="C124" s="105">
        <f t="shared" ca="1" si="13"/>
        <v>2</v>
      </c>
      <c r="D124" s="105" t="str">
        <f t="shared" ca="1" si="14"/>
        <v>01111329</v>
      </c>
      <c r="E124" s="105" t="str">
        <f t="shared" ca="1" si="15"/>
        <v>4400692320002</v>
      </c>
      <c r="F124" s="105" t="b">
        <f t="shared" ca="1" si="16"/>
        <v>0</v>
      </c>
      <c r="G124" s="140">
        <f t="shared" ca="1" si="17"/>
        <v>44742</v>
      </c>
      <c r="H124" s="105">
        <f ca="1">VLOOKUP( $A124, Aop!$A$2:$P$456, 4, 0)</f>
        <v>157</v>
      </c>
      <c r="I124" s="105">
        <f t="shared" ca="1" si="18"/>
        <v>2022</v>
      </c>
      <c r="J124" s="105"/>
      <c r="K124" s="57"/>
      <c r="L124" s="57" t="str">
        <f t="shared" ca="1" si="10"/>
        <v/>
      </c>
      <c r="M124" s="57" t="str">
        <f t="shared" ca="1" si="11"/>
        <v/>
      </c>
      <c r="N124" s="57" t="str">
        <f t="shared" ca="1" si="12"/>
        <v/>
      </c>
    </row>
    <row r="125" spans="1:14">
      <c r="A125" s="105">
        <v>125</v>
      </c>
      <c r="B125" s="105" t="str">
        <f ca="1">VLOOKUP( $A125, Aop!$A$2:$P$456, 2, 0)</f>
        <v>BSp</v>
      </c>
      <c r="C125" s="105">
        <f t="shared" ca="1" si="13"/>
        <v>2</v>
      </c>
      <c r="D125" s="105" t="str">
        <f t="shared" ca="1" si="14"/>
        <v>01111329</v>
      </c>
      <c r="E125" s="105" t="str">
        <f t="shared" ca="1" si="15"/>
        <v>4400692320002</v>
      </c>
      <c r="F125" s="105" t="b">
        <f t="shared" ca="1" si="16"/>
        <v>0</v>
      </c>
      <c r="G125" s="140">
        <f t="shared" ca="1" si="17"/>
        <v>44742</v>
      </c>
      <c r="H125" s="105">
        <f ca="1">VLOOKUP( $A125, Aop!$A$2:$P$456, 4, 0)</f>
        <v>158</v>
      </c>
      <c r="I125" s="105">
        <f t="shared" ca="1" si="18"/>
        <v>2022</v>
      </c>
      <c r="J125" s="105"/>
      <c r="K125" s="57"/>
      <c r="L125" s="57" t="str">
        <f t="shared" ca="1" si="10"/>
        <v/>
      </c>
      <c r="M125" s="57" t="str">
        <f t="shared" ca="1" si="11"/>
        <v/>
      </c>
      <c r="N125" s="57">
        <f t="shared" ca="1" si="12"/>
        <v>15641</v>
      </c>
    </row>
    <row r="126" spans="1:14">
      <c r="A126" s="105">
        <v>126</v>
      </c>
      <c r="B126" s="105" t="str">
        <f ca="1">VLOOKUP( $A126, Aop!$A$2:$P$456, 2, 0)</f>
        <v>BSp</v>
      </c>
      <c r="C126" s="105">
        <f t="shared" ca="1" si="13"/>
        <v>2</v>
      </c>
      <c r="D126" s="105" t="str">
        <f t="shared" ca="1" si="14"/>
        <v>01111329</v>
      </c>
      <c r="E126" s="105" t="str">
        <f t="shared" ca="1" si="15"/>
        <v>4400692320002</v>
      </c>
      <c r="F126" s="105" t="b">
        <f t="shared" ca="1" si="16"/>
        <v>0</v>
      </c>
      <c r="G126" s="140">
        <f t="shared" ca="1" si="17"/>
        <v>44742</v>
      </c>
      <c r="H126" s="105">
        <f ca="1">VLOOKUP( $A126, Aop!$A$2:$P$456, 4, 0)</f>
        <v>159</v>
      </c>
      <c r="I126" s="105">
        <f t="shared" ca="1" si="18"/>
        <v>2022</v>
      </c>
      <c r="J126" s="105"/>
      <c r="K126" s="57"/>
      <c r="L126" s="57" t="str">
        <f t="shared" ca="1" si="10"/>
        <v/>
      </c>
      <c r="M126" s="57" t="str">
        <f t="shared" ca="1" si="11"/>
        <v/>
      </c>
      <c r="N126" s="57">
        <f t="shared" ca="1" si="12"/>
        <v>1464</v>
      </c>
    </row>
    <row r="127" spans="1:14">
      <c r="A127" s="105">
        <v>127</v>
      </c>
      <c r="B127" s="105" t="str">
        <f ca="1">VLOOKUP( $A127, Aop!$A$2:$P$456, 2, 0)</f>
        <v>BSp</v>
      </c>
      <c r="C127" s="105">
        <f t="shared" ca="1" si="13"/>
        <v>2</v>
      </c>
      <c r="D127" s="105" t="str">
        <f t="shared" ca="1" si="14"/>
        <v>01111329</v>
      </c>
      <c r="E127" s="105" t="str">
        <f t="shared" ca="1" si="15"/>
        <v>4400692320002</v>
      </c>
      <c r="F127" s="105" t="b">
        <f t="shared" ca="1" si="16"/>
        <v>0</v>
      </c>
      <c r="G127" s="140">
        <f t="shared" ca="1" si="17"/>
        <v>44742</v>
      </c>
      <c r="H127" s="105">
        <f ca="1">VLOOKUP( $A127, Aop!$A$2:$P$456, 4, 0)</f>
        <v>160</v>
      </c>
      <c r="I127" s="105">
        <f t="shared" ca="1" si="18"/>
        <v>2022</v>
      </c>
      <c r="J127" s="105"/>
      <c r="K127" s="57"/>
      <c r="L127" s="57" t="str">
        <f t="shared" ca="1" si="10"/>
        <v/>
      </c>
      <c r="M127" s="57" t="str">
        <f t="shared" ca="1" si="11"/>
        <v/>
      </c>
      <c r="N127" s="57" t="str">
        <f t="shared" ca="1" si="12"/>
        <v/>
      </c>
    </row>
    <row r="128" spans="1:14">
      <c r="A128" s="105">
        <v>128</v>
      </c>
      <c r="B128" s="105" t="str">
        <f ca="1">VLOOKUP( $A128, Aop!$A$2:$P$456, 2, 0)</f>
        <v>BSp</v>
      </c>
      <c r="C128" s="105">
        <f t="shared" ca="1" si="13"/>
        <v>2</v>
      </c>
      <c r="D128" s="105" t="str">
        <f t="shared" ca="1" si="14"/>
        <v>01111329</v>
      </c>
      <c r="E128" s="105" t="str">
        <f t="shared" ca="1" si="15"/>
        <v>4400692320002</v>
      </c>
      <c r="F128" s="105" t="b">
        <f t="shared" ca="1" si="16"/>
        <v>0</v>
      </c>
      <c r="G128" s="140">
        <f t="shared" ca="1" si="17"/>
        <v>44742</v>
      </c>
      <c r="H128" s="105">
        <f ca="1">VLOOKUP( $A128, Aop!$A$2:$P$456, 4, 0)</f>
        <v>161</v>
      </c>
      <c r="I128" s="105">
        <f t="shared" ca="1" si="18"/>
        <v>2022</v>
      </c>
      <c r="J128" s="105"/>
      <c r="K128" s="57"/>
      <c r="L128" s="57" t="str">
        <f t="shared" ca="1" si="10"/>
        <v/>
      </c>
      <c r="M128" s="57" t="str">
        <f t="shared" ca="1" si="11"/>
        <v/>
      </c>
      <c r="N128" s="57" t="str">
        <f t="shared" ca="1" si="12"/>
        <v/>
      </c>
    </row>
    <row r="129" spans="1:14">
      <c r="A129" s="105">
        <v>129</v>
      </c>
      <c r="B129" s="57" t="str">
        <f ca="1">VLOOKUP( $A129, Aop!$A$2:$P$456, 2, 0)</f>
        <v>BSp</v>
      </c>
      <c r="C129" s="57">
        <f ca="1">ID_Izvjestaj</f>
        <v>2</v>
      </c>
      <c r="D129" s="57" t="str">
        <f ca="1">Podatak_MB</f>
        <v>01111329</v>
      </c>
      <c r="E129" s="57" t="str">
        <f ca="1">Podatak_JIB</f>
        <v>4400692320002</v>
      </c>
      <c r="F129" s="57" t="b">
        <f ca="1">Konsolidovan_izvjestaj</f>
        <v>0</v>
      </c>
      <c r="G129" s="140">
        <f ca="1">Datum_Broj</f>
        <v>44742</v>
      </c>
      <c r="H129" s="57">
        <f ca="1">VLOOKUP( $A129, Aop!$A$2:$P$456, 4, 0)</f>
        <v>162</v>
      </c>
      <c r="I129" s="57">
        <f ca="1">Godina</f>
        <v>2022</v>
      </c>
      <c r="J129" s="57"/>
      <c r="K129" s="57"/>
      <c r="L129" s="57" t="str">
        <f t="shared" ca="1" si="10"/>
        <v/>
      </c>
      <c r="M129" s="57" t="str">
        <f t="shared" ca="1" si="11"/>
        <v/>
      </c>
      <c r="N129" s="57">
        <f t="shared" ca="1" si="12"/>
        <v>99603</v>
      </c>
    </row>
    <row r="130" spans="1:14">
      <c r="A130" s="105">
        <v>130</v>
      </c>
      <c r="B130" s="105" t="str">
        <f ca="1">VLOOKUP( $A130, Aop!$A$2:$P$456, 2, 0)</f>
        <v>BSp</v>
      </c>
      <c r="C130" s="57">
        <f t="shared" ca="1" si="13"/>
        <v>2</v>
      </c>
      <c r="D130" s="57" t="str">
        <f t="shared" ref="D130:D189" ca="1" si="19">Podatak_MB</f>
        <v>01111329</v>
      </c>
      <c r="E130" s="57" t="str">
        <f t="shared" ref="E130:E189" ca="1" si="20">Podatak_JIB</f>
        <v>4400692320002</v>
      </c>
      <c r="F130" s="57" t="b">
        <f t="shared" ca="1" si="16"/>
        <v>0</v>
      </c>
      <c r="G130" s="140">
        <f t="shared" ca="1" si="17"/>
        <v>44742</v>
      </c>
      <c r="H130" s="105">
        <f ca="1">VLOOKUP( $A130, Aop!$A$2:$P$456, 4, 0)</f>
        <v>163</v>
      </c>
      <c r="I130" s="57">
        <f t="shared" ref="I130:I189" ca="1" si="21">Godina</f>
        <v>2022</v>
      </c>
      <c r="J130" s="57"/>
      <c r="K130" s="57"/>
      <c r="L130" s="57" t="str">
        <f t="shared" ca="1" si="10"/>
        <v/>
      </c>
      <c r="M130" s="57" t="str">
        <f t="shared" ca="1" si="11"/>
        <v/>
      </c>
      <c r="N130" s="57">
        <f t="shared" ca="1" si="12"/>
        <v>645017</v>
      </c>
    </row>
    <row r="131" spans="1:14">
      <c r="A131" s="105">
        <v>131</v>
      </c>
      <c r="B131" s="105" t="str">
        <f ca="1">VLOOKUP( $A131, Aop!$A$2:$P$456, 2, 0)</f>
        <v>BSp</v>
      </c>
      <c r="C131" s="57">
        <f t="shared" ref="C131:C190" ca="1" si="22">ID_Izvjestaj</f>
        <v>2</v>
      </c>
      <c r="D131" s="57" t="str">
        <f t="shared" ca="1" si="19"/>
        <v>01111329</v>
      </c>
      <c r="E131" s="57" t="str">
        <f t="shared" ca="1" si="20"/>
        <v>4400692320002</v>
      </c>
      <c r="F131" s="57" t="b">
        <f t="shared" ref="F131:F190" ca="1" si="23">Konsolidovan_izvjestaj</f>
        <v>0</v>
      </c>
      <c r="G131" s="140">
        <f t="shared" ref="G131:G190" ca="1" si="24">Datum_Broj</f>
        <v>44742</v>
      </c>
      <c r="H131" s="105">
        <f ca="1">VLOOKUP( $A131, Aop!$A$2:$P$456, 4, 0)</f>
        <v>164</v>
      </c>
      <c r="I131" s="57">
        <f t="shared" ca="1" si="21"/>
        <v>2022</v>
      </c>
      <c r="J131" s="57"/>
      <c r="K131" s="57"/>
      <c r="L131" s="57" t="str">
        <f ca="1">IF( VLOOKUP( $H131, INDIRECT( "Lookup_" &amp; $B131), IF( LEFT( $B131, 2) = "BS", R$2, R$1), 0) = "", "", VLOOKUP( $H131, INDIRECT( "Lookup_" &amp; $B131), IF( $B131 = "BSa", R$2, R$1), 0))</f>
        <v/>
      </c>
      <c r="M131" s="57" t="str">
        <f t="shared" ref="M131:M194" ca="1" si="25">IF( VLOOKUP( $H131, INDIRECT( "Lookup_" &amp; $B131), IF( LEFT( $B131, 2) = "BS", S$2, S$1), 0) = "", "", VLOOKUP( $H131, INDIRECT( "Lookup_" &amp; $B131), IF( LEFT( $B131, 2) = "BS", S$2, S$1), 0))</f>
        <v/>
      </c>
      <c r="N131" s="57" t="str">
        <f t="shared" ref="N131:N194" ca="1" si="26">IF( VLOOKUP( $H131, INDIRECT( "Lookup_" &amp; $B131), IF( LEFT( $B131, 2) = "BS", T$2, T$1), 0) = "", "", VLOOKUP( $H131, INDIRECT( "Lookup_" &amp; $B131), IF( LEFT( $B131, 2) = "BS", T$2, T$1), 0))</f>
        <v/>
      </c>
    </row>
    <row r="132" spans="1:14">
      <c r="A132" s="105">
        <v>132</v>
      </c>
      <c r="B132" s="105" t="str">
        <f ca="1">VLOOKUP( $A132, Aop!$A$2:$P$456, 2, 0)</f>
        <v>BSp</v>
      </c>
      <c r="C132" s="57">
        <f t="shared" ca="1" si="22"/>
        <v>2</v>
      </c>
      <c r="D132" s="57" t="str">
        <f t="shared" ca="1" si="19"/>
        <v>01111329</v>
      </c>
      <c r="E132" s="57" t="str">
        <f t="shared" ca="1" si="20"/>
        <v>4400692320002</v>
      </c>
      <c r="F132" s="57" t="b">
        <f t="shared" ca="1" si="23"/>
        <v>0</v>
      </c>
      <c r="G132" s="140">
        <f t="shared" ca="1" si="24"/>
        <v>44742</v>
      </c>
      <c r="H132" s="105">
        <f ca="1">VLOOKUP( $A132, Aop!$A$2:$P$456, 4, 0)</f>
        <v>165</v>
      </c>
      <c r="I132" s="57">
        <f t="shared" ca="1" si="21"/>
        <v>2022</v>
      </c>
      <c r="J132" s="57"/>
      <c r="K132" s="57"/>
      <c r="L132" s="57" t="str">
        <f ca="1">IF( VLOOKUP( $H132, INDIRECT( "Lookup_" &amp; $B132), IF( LEFT( $B132, 2) = "BS", R$2, R$1), 0) = "", "", VLOOKUP( $H132, INDIRECT( "Lookup_" &amp; $B132), IF( $B132 = "BSa", R$2, R$1), 0))</f>
        <v/>
      </c>
      <c r="M132" s="57" t="str">
        <f t="shared" ca="1" si="25"/>
        <v/>
      </c>
      <c r="N132" s="57">
        <f t="shared" ca="1" si="26"/>
        <v>18700</v>
      </c>
    </row>
    <row r="133" spans="1:14">
      <c r="A133" s="105">
        <v>133</v>
      </c>
      <c r="B133" s="105" t="str">
        <f ca="1">VLOOKUP( $A133, Aop!$A$2:$P$456, 2, 0)</f>
        <v>BSp</v>
      </c>
      <c r="C133" s="57">
        <f t="shared" ca="1" si="22"/>
        <v>2</v>
      </c>
      <c r="D133" s="57" t="str">
        <f t="shared" ca="1" si="19"/>
        <v>01111329</v>
      </c>
      <c r="E133" s="57" t="str">
        <f t="shared" ca="1" si="20"/>
        <v>4400692320002</v>
      </c>
      <c r="F133" s="57" t="b">
        <f t="shared" ca="1" si="23"/>
        <v>0</v>
      </c>
      <c r="G133" s="140">
        <f t="shared" ca="1" si="24"/>
        <v>44742</v>
      </c>
      <c r="H133" s="105">
        <f ca="1">VLOOKUP( $A133, Aop!$A$2:$P$456, 4, 0)</f>
        <v>166</v>
      </c>
      <c r="I133" s="57">
        <f t="shared" ca="1" si="21"/>
        <v>2022</v>
      </c>
      <c r="J133" s="57"/>
      <c r="K133" s="57"/>
      <c r="L133" s="57" t="str">
        <f ca="1">IF( VLOOKUP( $H133, INDIRECT( "Lookup_" &amp; $B133), IF( LEFT( $B133, 2) = "BS", R$2, R$1), 0) = "", "", VLOOKUP( $H133, INDIRECT( "Lookup_" &amp; $B133), IF( $B133 = "BSa", R$2, R$1), 0))</f>
        <v/>
      </c>
      <c r="M133" s="57" t="str">
        <f t="shared" ca="1" si="25"/>
        <v/>
      </c>
      <c r="N133" s="57" t="str">
        <f t="shared" ca="1" si="26"/>
        <v/>
      </c>
    </row>
    <row r="134" spans="1:14">
      <c r="A134" s="105">
        <v>134</v>
      </c>
      <c r="B134" s="105" t="str">
        <f ca="1">VLOOKUP( $A134, Aop!$A$2:$P$456, 2, 0)</f>
        <v>BSp</v>
      </c>
      <c r="C134" s="57">
        <f t="shared" ca="1" si="22"/>
        <v>2</v>
      </c>
      <c r="D134" s="57" t="str">
        <f t="shared" ca="1" si="19"/>
        <v>01111329</v>
      </c>
      <c r="E134" s="57" t="str">
        <f t="shared" ca="1" si="20"/>
        <v>4400692320002</v>
      </c>
      <c r="F134" s="57" t="b">
        <f t="shared" ca="1" si="23"/>
        <v>0</v>
      </c>
      <c r="G134" s="140">
        <f t="shared" ca="1" si="24"/>
        <v>44742</v>
      </c>
      <c r="H134" s="105">
        <f ca="1">VLOOKUP( $A134, Aop!$A$2:$P$456, 4, 0)</f>
        <v>167</v>
      </c>
      <c r="I134" s="57">
        <f t="shared" ca="1" si="21"/>
        <v>2022</v>
      </c>
      <c r="J134" s="57"/>
      <c r="K134" s="57"/>
      <c r="L134" s="57" t="str">
        <f ca="1">IF( VLOOKUP( $H134, INDIRECT( "Lookup_" &amp; $B134), IF( LEFT( $B134, 2) = "BS", R$2, R$1), 0) = "", "", VLOOKUP( $H134, INDIRECT( "Lookup_" &amp; $B134), IF( $B134 = "BSa", R$2, R$1), 0))</f>
        <v/>
      </c>
      <c r="M134" s="57" t="str">
        <f t="shared" ca="1" si="25"/>
        <v/>
      </c>
      <c r="N134" s="57" t="str">
        <f t="shared" ca="1" si="26"/>
        <v/>
      </c>
    </row>
    <row r="135" spans="1:14">
      <c r="A135" s="105">
        <v>136</v>
      </c>
      <c r="B135" s="105" t="str">
        <f ca="1">VLOOKUP( $A135, Aop!$A$2:$P$456, 2, 0)</f>
        <v>BSp</v>
      </c>
      <c r="C135" s="57">
        <f t="shared" ca="1" si="22"/>
        <v>2</v>
      </c>
      <c r="D135" s="57" t="str">
        <f t="shared" ca="1" si="19"/>
        <v>01111329</v>
      </c>
      <c r="E135" s="57" t="str">
        <f t="shared" ca="1" si="20"/>
        <v>4400692320002</v>
      </c>
      <c r="F135" s="57" t="b">
        <f t="shared" ca="1" si="23"/>
        <v>0</v>
      </c>
      <c r="G135" s="140">
        <f t="shared" ca="1" si="24"/>
        <v>44742</v>
      </c>
      <c r="H135" s="105">
        <f ca="1">VLOOKUP( $A135, Aop!$A$2:$P$456, 4, 0)</f>
        <v>0</v>
      </c>
      <c r="I135" s="57">
        <f t="shared" ca="1" si="21"/>
        <v>2022</v>
      </c>
      <c r="J135" s="57"/>
      <c r="K135" s="57"/>
      <c r="L135" s="57"/>
      <c r="M135" s="57" t="str">
        <f t="shared" ca="1" si="25"/>
        <v/>
      </c>
      <c r="N135" s="57" t="str">
        <f t="shared" ca="1" si="26"/>
        <v/>
      </c>
    </row>
    <row r="136" spans="1:14">
      <c r="A136" s="105">
        <v>137</v>
      </c>
      <c r="B136" s="105" t="str">
        <f ca="1">VLOOKUP( $A136, Aop!$A$2:$P$456, 2, 0)</f>
        <v>BSp</v>
      </c>
      <c r="C136" s="57">
        <f t="shared" ca="1" si="22"/>
        <v>2</v>
      </c>
      <c r="D136" s="57" t="str">
        <f t="shared" ca="1" si="19"/>
        <v>01111329</v>
      </c>
      <c r="E136" s="57" t="str">
        <f t="shared" ca="1" si="20"/>
        <v>4400692320002</v>
      </c>
      <c r="F136" s="57" t="b">
        <f t="shared" ca="1" si="23"/>
        <v>0</v>
      </c>
      <c r="G136" s="140">
        <f t="shared" ca="1" si="24"/>
        <v>44742</v>
      </c>
      <c r="H136" s="105">
        <f ca="1">VLOOKUP( $A136, Aop!$A$2:$P$456, 4, 0)</f>
        <v>169</v>
      </c>
      <c r="I136" s="57">
        <f t="shared" ca="1" si="21"/>
        <v>2022</v>
      </c>
      <c r="J136" s="57"/>
      <c r="K136" s="57"/>
      <c r="L136" s="57"/>
      <c r="M136" s="57" t="str">
        <f t="shared" ca="1" si="25"/>
        <v/>
      </c>
      <c r="N136" s="57">
        <f t="shared" ca="1" si="26"/>
        <v>72232016</v>
      </c>
    </row>
    <row r="137" spans="1:14">
      <c r="A137" s="105">
        <v>138</v>
      </c>
      <c r="B137" s="105" t="str">
        <f ca="1">VLOOKUP( $A137, Aop!$A$2:$P$456, 2, 0)</f>
        <v>BSp</v>
      </c>
      <c r="C137" s="57">
        <f t="shared" ca="1" si="22"/>
        <v>2</v>
      </c>
      <c r="D137" s="57" t="str">
        <f t="shared" ca="1" si="19"/>
        <v>01111329</v>
      </c>
      <c r="E137" s="57" t="str">
        <f t="shared" ca="1" si="20"/>
        <v>4400692320002</v>
      </c>
      <c r="F137" s="57" t="b">
        <f t="shared" ca="1" si="23"/>
        <v>0</v>
      </c>
      <c r="G137" s="140">
        <f t="shared" ca="1" si="24"/>
        <v>44742</v>
      </c>
      <c r="H137" s="105">
        <f ca="1">VLOOKUP( $A137, Aop!$A$2:$P$456, 4, 0)</f>
        <v>170</v>
      </c>
      <c r="I137" s="57">
        <f t="shared" ca="1" si="21"/>
        <v>2022</v>
      </c>
      <c r="J137" s="57"/>
      <c r="K137" s="57"/>
      <c r="L137" s="57"/>
      <c r="M137" s="57" t="str">
        <f t="shared" ca="1" si="25"/>
        <v/>
      </c>
      <c r="N137" s="57">
        <f t="shared" ca="1" si="26"/>
        <v>14412988</v>
      </c>
    </row>
    <row r="138" spans="1:14">
      <c r="A138" s="105">
        <v>139</v>
      </c>
      <c r="B138" s="105" t="str">
        <f ca="1">VLOOKUP( $A138, Aop!$A$2:$P$456, 2, 0)</f>
        <v>BUa</v>
      </c>
      <c r="C138" s="57">
        <f t="shared" ca="1" si="22"/>
        <v>2</v>
      </c>
      <c r="D138" s="57" t="str">
        <f t="shared" ca="1" si="19"/>
        <v>01111329</v>
      </c>
      <c r="E138" s="57" t="str">
        <f t="shared" ca="1" si="20"/>
        <v>4400692320002</v>
      </c>
      <c r="F138" s="57" t="b">
        <f t="shared" ca="1" si="23"/>
        <v>0</v>
      </c>
      <c r="G138" s="140">
        <f t="shared" ca="1" si="24"/>
        <v>44742</v>
      </c>
      <c r="H138" s="105">
        <f ca="1">VLOOKUP( $A138, Aop!$A$2:$P$456, 4, 0)</f>
        <v>201</v>
      </c>
      <c r="I138" s="57">
        <f t="shared" ca="1" si="21"/>
        <v>2022</v>
      </c>
      <c r="J138" s="57"/>
      <c r="K138" s="57"/>
      <c r="L138" s="57"/>
      <c r="M138" s="57" t="str">
        <f t="shared" ca="1" si="25"/>
        <v/>
      </c>
      <c r="N138" s="57">
        <f t="shared" ca="1" si="26"/>
        <v>17963782</v>
      </c>
    </row>
    <row r="139" spans="1:14">
      <c r="A139" s="105">
        <v>140</v>
      </c>
      <c r="B139" s="105" t="str">
        <f ca="1">VLOOKUP( $A139, Aop!$A$2:$P$456, 2, 0)</f>
        <v>BUa</v>
      </c>
      <c r="C139" s="57">
        <f t="shared" ca="1" si="22"/>
        <v>2</v>
      </c>
      <c r="D139" s="57" t="str">
        <f t="shared" ca="1" si="19"/>
        <v>01111329</v>
      </c>
      <c r="E139" s="57" t="str">
        <f t="shared" ca="1" si="20"/>
        <v>4400692320002</v>
      </c>
      <c r="F139" s="57" t="b">
        <f t="shared" ca="1" si="23"/>
        <v>0</v>
      </c>
      <c r="G139" s="140">
        <f t="shared" ca="1" si="24"/>
        <v>44742</v>
      </c>
      <c r="H139" s="105">
        <f ca="1">VLOOKUP( $A139, Aop!$A$2:$P$456, 4, 0)</f>
        <v>202</v>
      </c>
      <c r="I139" s="57">
        <f t="shared" ca="1" si="21"/>
        <v>2022</v>
      </c>
      <c r="J139" s="57"/>
      <c r="K139" s="57"/>
      <c r="L139" s="57"/>
      <c r="M139" s="57" t="str">
        <f t="shared" ca="1" si="25"/>
        <v/>
      </c>
      <c r="N139" s="57">
        <f t="shared" ca="1" si="26"/>
        <v>619385</v>
      </c>
    </row>
    <row r="140" spans="1:14">
      <c r="A140" s="105">
        <v>141</v>
      </c>
      <c r="B140" s="105" t="str">
        <f ca="1">VLOOKUP( $A140, Aop!$A$2:$P$456, 2, 0)</f>
        <v>BUa</v>
      </c>
      <c r="C140" s="57">
        <f t="shared" ca="1" si="22"/>
        <v>2</v>
      </c>
      <c r="D140" s="57" t="str">
        <f t="shared" ca="1" si="19"/>
        <v>01111329</v>
      </c>
      <c r="E140" s="57" t="str">
        <f t="shared" ca="1" si="20"/>
        <v>4400692320002</v>
      </c>
      <c r="F140" s="57" t="b">
        <f t="shared" ca="1" si="23"/>
        <v>0</v>
      </c>
      <c r="G140" s="140">
        <f t="shared" ca="1" si="24"/>
        <v>44742</v>
      </c>
      <c r="H140" s="105">
        <f ca="1">VLOOKUP( $A140, Aop!$A$2:$P$456, 4, 0)</f>
        <v>203</v>
      </c>
      <c r="I140" s="57">
        <f t="shared" ca="1" si="21"/>
        <v>2022</v>
      </c>
      <c r="J140" s="57"/>
      <c r="K140" s="57"/>
      <c r="L140" s="57"/>
      <c r="M140" s="57" t="str">
        <f t="shared" ca="1" si="25"/>
        <v/>
      </c>
      <c r="N140" s="57" t="str">
        <f t="shared" ca="1" si="26"/>
        <v/>
      </c>
    </row>
    <row r="141" spans="1:14">
      <c r="A141" s="105">
        <v>142</v>
      </c>
      <c r="B141" s="105" t="str">
        <f ca="1">VLOOKUP( $A141, Aop!$A$2:$P$456, 2, 0)</f>
        <v>BUa</v>
      </c>
      <c r="C141" s="57">
        <f t="shared" ca="1" si="22"/>
        <v>2</v>
      </c>
      <c r="D141" s="57" t="str">
        <f t="shared" ca="1" si="19"/>
        <v>01111329</v>
      </c>
      <c r="E141" s="57" t="str">
        <f t="shared" ca="1" si="20"/>
        <v>4400692320002</v>
      </c>
      <c r="F141" s="57" t="b">
        <f t="shared" ca="1" si="23"/>
        <v>0</v>
      </c>
      <c r="G141" s="140">
        <f t="shared" ca="1" si="24"/>
        <v>44742</v>
      </c>
      <c r="H141" s="105">
        <f ca="1">VLOOKUP( $A141, Aop!$A$2:$P$456, 4, 0)</f>
        <v>204</v>
      </c>
      <c r="I141" s="57">
        <f t="shared" ca="1" si="21"/>
        <v>2022</v>
      </c>
      <c r="J141" s="57"/>
      <c r="K141" s="57"/>
      <c r="L141" s="57"/>
      <c r="M141" s="57" t="str">
        <f t="shared" ca="1" si="25"/>
        <v/>
      </c>
      <c r="N141" s="57">
        <f t="shared" ca="1" si="26"/>
        <v>619385</v>
      </c>
    </row>
    <row r="142" spans="1:14">
      <c r="A142" s="105">
        <v>143</v>
      </c>
      <c r="B142" s="105" t="str">
        <f ca="1">VLOOKUP( $A142, Aop!$A$2:$P$456, 2, 0)</f>
        <v>BUa</v>
      </c>
      <c r="C142" s="57">
        <f t="shared" ca="1" si="22"/>
        <v>2</v>
      </c>
      <c r="D142" s="57" t="str">
        <f t="shared" ca="1" si="19"/>
        <v>01111329</v>
      </c>
      <c r="E142" s="57" t="str">
        <f t="shared" ca="1" si="20"/>
        <v>4400692320002</v>
      </c>
      <c r="F142" s="57" t="b">
        <f t="shared" ca="1" si="23"/>
        <v>0</v>
      </c>
      <c r="G142" s="140">
        <f t="shared" ca="1" si="24"/>
        <v>44742</v>
      </c>
      <c r="H142" s="105">
        <f ca="1">VLOOKUP( $A142, Aop!$A$2:$P$456, 4, 0)</f>
        <v>205</v>
      </c>
      <c r="I142" s="57">
        <f t="shared" ca="1" si="21"/>
        <v>2022</v>
      </c>
      <c r="J142" s="57"/>
      <c r="K142" s="57"/>
      <c r="L142" s="57"/>
      <c r="M142" s="57" t="str">
        <f t="shared" ca="1" si="25"/>
        <v/>
      </c>
      <c r="N142" s="57" t="str">
        <f t="shared" ca="1" si="26"/>
        <v/>
      </c>
    </row>
    <row r="143" spans="1:14">
      <c r="A143" s="105">
        <v>144</v>
      </c>
      <c r="B143" s="105" t="str">
        <f ca="1">VLOOKUP( $A143, Aop!$A$2:$P$456, 2, 0)</f>
        <v>BUa</v>
      </c>
      <c r="C143" s="57">
        <f t="shared" ca="1" si="22"/>
        <v>2</v>
      </c>
      <c r="D143" s="57" t="str">
        <f t="shared" ca="1" si="19"/>
        <v>01111329</v>
      </c>
      <c r="E143" s="57" t="str">
        <f t="shared" ca="1" si="20"/>
        <v>4400692320002</v>
      </c>
      <c r="F143" s="57" t="b">
        <f t="shared" ca="1" si="23"/>
        <v>0</v>
      </c>
      <c r="G143" s="140">
        <f t="shared" ca="1" si="24"/>
        <v>44742</v>
      </c>
      <c r="H143" s="105">
        <f ca="1">VLOOKUP( $A143, Aop!$A$2:$P$456, 4, 0)</f>
        <v>206</v>
      </c>
      <c r="I143" s="57">
        <f t="shared" ca="1" si="21"/>
        <v>2022</v>
      </c>
      <c r="J143" s="57"/>
      <c r="K143" s="57"/>
      <c r="L143" s="57"/>
      <c r="M143" s="57" t="str">
        <f t="shared" ca="1" si="25"/>
        <v/>
      </c>
      <c r="N143" s="57">
        <f t="shared" ca="1" si="26"/>
        <v>0</v>
      </c>
    </row>
    <row r="144" spans="1:14">
      <c r="A144" s="105">
        <v>145</v>
      </c>
      <c r="B144" s="105" t="str">
        <f ca="1">VLOOKUP( $A144, Aop!$A$2:$P$456, 2, 0)</f>
        <v>BUa</v>
      </c>
      <c r="C144" s="57">
        <f t="shared" ca="1" si="22"/>
        <v>2</v>
      </c>
      <c r="D144" s="57" t="str">
        <f t="shared" ca="1" si="19"/>
        <v>01111329</v>
      </c>
      <c r="E144" s="57" t="str">
        <f t="shared" ca="1" si="20"/>
        <v>4400692320002</v>
      </c>
      <c r="F144" s="57" t="b">
        <f t="shared" ca="1" si="23"/>
        <v>0</v>
      </c>
      <c r="G144" s="140">
        <f t="shared" ca="1" si="24"/>
        <v>44742</v>
      </c>
      <c r="H144" s="105">
        <f ca="1">VLOOKUP( $A144, Aop!$A$2:$P$456, 4, 0)</f>
        <v>207</v>
      </c>
      <c r="I144" s="57">
        <f t="shared" ca="1" si="21"/>
        <v>2022</v>
      </c>
      <c r="J144" s="57"/>
      <c r="K144" s="57"/>
      <c r="L144" s="57"/>
      <c r="M144" s="57" t="str">
        <f t="shared" ca="1" si="25"/>
        <v/>
      </c>
      <c r="N144" s="57" t="str">
        <f t="shared" ca="1" si="26"/>
        <v/>
      </c>
    </row>
    <row r="145" spans="1:14">
      <c r="A145" s="105">
        <v>146</v>
      </c>
      <c r="B145" s="105" t="str">
        <f ca="1">VLOOKUP( $A145, Aop!$A$2:$P$456, 2, 0)</f>
        <v>BUa</v>
      </c>
      <c r="C145" s="57">
        <f t="shared" ca="1" si="22"/>
        <v>2</v>
      </c>
      <c r="D145" s="57" t="str">
        <f t="shared" ca="1" si="19"/>
        <v>01111329</v>
      </c>
      <c r="E145" s="57" t="str">
        <f t="shared" ca="1" si="20"/>
        <v>4400692320002</v>
      </c>
      <c r="F145" s="57" t="b">
        <f t="shared" ca="1" si="23"/>
        <v>0</v>
      </c>
      <c r="G145" s="140">
        <f t="shared" ca="1" si="24"/>
        <v>44742</v>
      </c>
      <c r="H145" s="105">
        <f ca="1">VLOOKUP( $A145, Aop!$A$2:$P$456, 4, 0)</f>
        <v>208</v>
      </c>
      <c r="I145" s="57">
        <f t="shared" ca="1" si="21"/>
        <v>2022</v>
      </c>
      <c r="J145" s="57"/>
      <c r="K145" s="57"/>
      <c r="L145" s="57"/>
      <c r="M145" s="57" t="str">
        <f t="shared" ca="1" si="25"/>
        <v/>
      </c>
      <c r="N145" s="57" t="str">
        <f t="shared" ca="1" si="26"/>
        <v/>
      </c>
    </row>
    <row r="146" spans="1:14">
      <c r="A146" s="105">
        <v>147</v>
      </c>
      <c r="B146" s="105" t="str">
        <f ca="1">VLOOKUP( $A146, Aop!$A$2:$P$456, 2, 0)</f>
        <v>BUa</v>
      </c>
      <c r="C146" s="57">
        <f t="shared" ca="1" si="22"/>
        <v>2</v>
      </c>
      <c r="D146" s="57" t="str">
        <f t="shared" ca="1" si="19"/>
        <v>01111329</v>
      </c>
      <c r="E146" s="57" t="str">
        <f t="shared" ca="1" si="20"/>
        <v>4400692320002</v>
      </c>
      <c r="F146" s="57" t="b">
        <f t="shared" ca="1" si="23"/>
        <v>0</v>
      </c>
      <c r="G146" s="140">
        <f t="shared" ca="1" si="24"/>
        <v>44742</v>
      </c>
      <c r="H146" s="105">
        <f ca="1">VLOOKUP( $A146, Aop!$A$2:$P$456, 4, 0)</f>
        <v>209</v>
      </c>
      <c r="I146" s="57">
        <f t="shared" ca="1" si="21"/>
        <v>2022</v>
      </c>
      <c r="J146" s="57"/>
      <c r="K146" s="57"/>
      <c r="L146" s="57"/>
      <c r="M146" s="57" t="str">
        <f t="shared" ca="1" si="25"/>
        <v/>
      </c>
      <c r="N146" s="57" t="str">
        <f t="shared" ca="1" si="26"/>
        <v/>
      </c>
    </row>
    <row r="147" spans="1:14">
      <c r="A147" s="105">
        <v>148</v>
      </c>
      <c r="B147" s="105" t="str">
        <f ca="1">VLOOKUP( $A147, Aop!$A$2:$P$456, 2, 0)</f>
        <v>BUa</v>
      </c>
      <c r="C147" s="57">
        <f t="shared" ca="1" si="22"/>
        <v>2</v>
      </c>
      <c r="D147" s="57" t="str">
        <f t="shared" ca="1" si="19"/>
        <v>01111329</v>
      </c>
      <c r="E147" s="57" t="str">
        <f t="shared" ca="1" si="20"/>
        <v>4400692320002</v>
      </c>
      <c r="F147" s="57" t="b">
        <f t="shared" ca="1" si="23"/>
        <v>0</v>
      </c>
      <c r="G147" s="140">
        <f t="shared" ca="1" si="24"/>
        <v>44742</v>
      </c>
      <c r="H147" s="105">
        <f ca="1">VLOOKUP( $A147, Aop!$A$2:$P$456, 4, 0)</f>
        <v>210</v>
      </c>
      <c r="I147" s="57">
        <f t="shared" ca="1" si="21"/>
        <v>2022</v>
      </c>
      <c r="J147" s="57"/>
      <c r="K147" s="57"/>
      <c r="L147" s="57"/>
      <c r="M147" s="57" t="str">
        <f t="shared" ca="1" si="25"/>
        <v/>
      </c>
      <c r="N147" s="57">
        <f t="shared" ca="1" si="26"/>
        <v>225788</v>
      </c>
    </row>
    <row r="148" spans="1:14">
      <c r="A148" s="105">
        <v>149</v>
      </c>
      <c r="B148" s="105" t="str">
        <f ca="1">VLOOKUP( $A148, Aop!$A$2:$P$456, 2, 0)</f>
        <v>BUa</v>
      </c>
      <c r="C148" s="57">
        <f t="shared" ca="1" si="22"/>
        <v>2</v>
      </c>
      <c r="D148" s="57" t="str">
        <f t="shared" ca="1" si="19"/>
        <v>01111329</v>
      </c>
      <c r="E148" s="57" t="str">
        <f t="shared" ca="1" si="20"/>
        <v>4400692320002</v>
      </c>
      <c r="F148" s="57" t="b">
        <f t="shared" ca="1" si="23"/>
        <v>0</v>
      </c>
      <c r="G148" s="140">
        <f t="shared" ca="1" si="24"/>
        <v>44742</v>
      </c>
      <c r="H148" s="105">
        <f ca="1">VLOOKUP( $A148, Aop!$A$2:$P$456, 4, 0)</f>
        <v>211</v>
      </c>
      <c r="I148" s="57">
        <f t="shared" ca="1" si="21"/>
        <v>2022</v>
      </c>
      <c r="J148" s="57"/>
      <c r="K148" s="57"/>
      <c r="L148" s="57"/>
      <c r="M148" s="57" t="str">
        <f t="shared" ca="1" si="25"/>
        <v/>
      </c>
      <c r="N148" s="57">
        <f t="shared" ca="1" si="26"/>
        <v>225788</v>
      </c>
    </row>
    <row r="149" spans="1:14">
      <c r="A149" s="105">
        <v>150</v>
      </c>
      <c r="B149" s="105" t="str">
        <f ca="1">VLOOKUP( $A149, Aop!$A$2:$P$456, 2, 0)</f>
        <v>BUa</v>
      </c>
      <c r="C149" s="57">
        <f t="shared" ca="1" si="22"/>
        <v>2</v>
      </c>
      <c r="D149" s="57" t="str">
        <f t="shared" ca="1" si="19"/>
        <v>01111329</v>
      </c>
      <c r="E149" s="57" t="str">
        <f t="shared" ca="1" si="20"/>
        <v>4400692320002</v>
      </c>
      <c r="F149" s="57" t="b">
        <f t="shared" ca="1" si="23"/>
        <v>0</v>
      </c>
      <c r="G149" s="140">
        <f t="shared" ca="1" si="24"/>
        <v>44742</v>
      </c>
      <c r="H149" s="105">
        <f ca="1">VLOOKUP( $A149, Aop!$A$2:$P$456, 4, 0)</f>
        <v>212</v>
      </c>
      <c r="I149" s="57">
        <f t="shared" ca="1" si="21"/>
        <v>2022</v>
      </c>
      <c r="J149" s="57"/>
      <c r="K149" s="57"/>
      <c r="L149" s="57"/>
      <c r="M149" s="57" t="str">
        <f t="shared" ca="1" si="25"/>
        <v/>
      </c>
      <c r="N149" s="57" t="str">
        <f t="shared" ca="1" si="26"/>
        <v/>
      </c>
    </row>
    <row r="150" spans="1:14">
      <c r="A150" s="105">
        <v>151</v>
      </c>
      <c r="B150" s="105" t="str">
        <f ca="1">VLOOKUP( $A150, Aop!$A$2:$P$456, 2, 0)</f>
        <v>BUa</v>
      </c>
      <c r="C150" s="57">
        <f t="shared" ca="1" si="22"/>
        <v>2</v>
      </c>
      <c r="D150" s="57" t="str">
        <f t="shared" ca="1" si="19"/>
        <v>01111329</v>
      </c>
      <c r="E150" s="57" t="str">
        <f t="shared" ca="1" si="20"/>
        <v>4400692320002</v>
      </c>
      <c r="F150" s="57" t="b">
        <f t="shared" ca="1" si="23"/>
        <v>0</v>
      </c>
      <c r="G150" s="140">
        <f t="shared" ca="1" si="24"/>
        <v>44742</v>
      </c>
      <c r="H150" s="105">
        <f ca="1">VLOOKUP( $A150, Aop!$A$2:$P$456, 4, 0)</f>
        <v>213</v>
      </c>
      <c r="I150" s="57">
        <f t="shared" ca="1" si="21"/>
        <v>2022</v>
      </c>
      <c r="J150" s="57"/>
      <c r="K150" s="57"/>
      <c r="L150" s="57"/>
      <c r="M150" s="57" t="str">
        <f t="shared" ca="1" si="25"/>
        <v/>
      </c>
      <c r="N150" s="57" t="str">
        <f t="shared" ca="1" si="26"/>
        <v/>
      </c>
    </row>
    <row r="151" spans="1:14">
      <c r="A151" s="105">
        <v>152</v>
      </c>
      <c r="B151" s="105" t="str">
        <f ca="1">VLOOKUP( $A151, Aop!$A$2:$P$456, 2, 0)</f>
        <v>BUa</v>
      </c>
      <c r="C151" s="57">
        <f t="shared" ca="1" si="22"/>
        <v>2</v>
      </c>
      <c r="D151" s="57" t="str">
        <f t="shared" ca="1" si="19"/>
        <v>01111329</v>
      </c>
      <c r="E151" s="57" t="str">
        <f t="shared" ca="1" si="20"/>
        <v>4400692320002</v>
      </c>
      <c r="F151" s="57" t="b">
        <f t="shared" ca="1" si="23"/>
        <v>0</v>
      </c>
      <c r="G151" s="140">
        <f t="shared" ca="1" si="24"/>
        <v>44742</v>
      </c>
      <c r="H151" s="105">
        <f ca="1">VLOOKUP( $A151, Aop!$A$2:$P$456, 4, 0)</f>
        <v>214</v>
      </c>
      <c r="I151" s="57">
        <f t="shared" ca="1" si="21"/>
        <v>2022</v>
      </c>
      <c r="J151" s="57"/>
      <c r="K151" s="57"/>
      <c r="L151" s="57"/>
      <c r="M151" s="57" t="str">
        <f t="shared" ca="1" si="25"/>
        <v/>
      </c>
      <c r="N151" s="57" t="str">
        <f t="shared" ca="1" si="26"/>
        <v/>
      </c>
    </row>
    <row r="152" spans="1:14">
      <c r="A152" s="105">
        <v>153</v>
      </c>
      <c r="B152" s="105" t="str">
        <f ca="1">VLOOKUP( $A152, Aop!$A$2:$P$456, 2, 0)</f>
        <v>BUa</v>
      </c>
      <c r="C152" s="57">
        <f t="shared" ca="1" si="22"/>
        <v>2</v>
      </c>
      <c r="D152" s="57" t="str">
        <f t="shared" ca="1" si="19"/>
        <v>01111329</v>
      </c>
      <c r="E152" s="57" t="str">
        <f t="shared" ca="1" si="20"/>
        <v>4400692320002</v>
      </c>
      <c r="F152" s="57" t="b">
        <f t="shared" ca="1" si="23"/>
        <v>0</v>
      </c>
      <c r="G152" s="140">
        <f t="shared" ca="1" si="24"/>
        <v>44742</v>
      </c>
      <c r="H152" s="105">
        <f ca="1">VLOOKUP( $A152, Aop!$A$2:$P$456, 4, 0)</f>
        <v>215</v>
      </c>
      <c r="I152" s="57">
        <f t="shared" ca="1" si="21"/>
        <v>2022</v>
      </c>
      <c r="J152" s="57"/>
      <c r="K152" s="57"/>
      <c r="L152" s="57"/>
      <c r="M152" s="57" t="str">
        <f t="shared" ca="1" si="25"/>
        <v/>
      </c>
      <c r="N152" s="57" t="str">
        <f t="shared" ca="1" si="26"/>
        <v/>
      </c>
    </row>
    <row r="153" spans="1:14">
      <c r="A153" s="105">
        <v>154</v>
      </c>
      <c r="B153" s="105" t="str">
        <f ca="1">VLOOKUP( $A153, Aop!$A$2:$P$456, 2, 0)</f>
        <v>BUa</v>
      </c>
      <c r="C153" s="57">
        <f t="shared" ca="1" si="22"/>
        <v>2</v>
      </c>
      <c r="D153" s="57" t="str">
        <f t="shared" ca="1" si="19"/>
        <v>01111329</v>
      </c>
      <c r="E153" s="57" t="str">
        <f t="shared" ca="1" si="20"/>
        <v>4400692320002</v>
      </c>
      <c r="F153" s="57" t="b">
        <f t="shared" ca="1" si="23"/>
        <v>0</v>
      </c>
      <c r="G153" s="140">
        <f t="shared" ca="1" si="24"/>
        <v>44742</v>
      </c>
      <c r="H153" s="105">
        <f ca="1">VLOOKUP( $A153, Aop!$A$2:$P$456, 4, 0)</f>
        <v>216</v>
      </c>
      <c r="I153" s="57">
        <f t="shared" ca="1" si="21"/>
        <v>2022</v>
      </c>
      <c r="J153" s="57"/>
      <c r="K153" s="57"/>
      <c r="L153" s="57"/>
      <c r="M153" s="57" t="str">
        <f t="shared" ca="1" si="25"/>
        <v/>
      </c>
      <c r="N153" s="57" t="str">
        <f t="shared" ca="1" si="26"/>
        <v/>
      </c>
    </row>
    <row r="154" spans="1:14">
      <c r="A154" s="105">
        <v>155</v>
      </c>
      <c r="B154" s="105" t="str">
        <f ca="1">VLOOKUP( $A154, Aop!$A$2:$P$456, 2, 0)</f>
        <v>BUa</v>
      </c>
      <c r="C154" s="57">
        <f t="shared" ca="1" si="22"/>
        <v>2</v>
      </c>
      <c r="D154" s="57" t="str">
        <f t="shared" ca="1" si="19"/>
        <v>01111329</v>
      </c>
      <c r="E154" s="57" t="str">
        <f t="shared" ca="1" si="20"/>
        <v>4400692320002</v>
      </c>
      <c r="F154" s="57" t="b">
        <f t="shared" ca="1" si="23"/>
        <v>0</v>
      </c>
      <c r="G154" s="140">
        <f t="shared" ca="1" si="24"/>
        <v>44742</v>
      </c>
      <c r="H154" s="105">
        <f ca="1">VLOOKUP( $A154, Aop!$A$2:$P$456, 4, 0)</f>
        <v>217</v>
      </c>
      <c r="I154" s="57">
        <f t="shared" ca="1" si="21"/>
        <v>2022</v>
      </c>
      <c r="J154" s="57"/>
      <c r="K154" s="57"/>
      <c r="L154" s="57"/>
      <c r="M154" s="57" t="str">
        <f t="shared" ca="1" si="25"/>
        <v/>
      </c>
      <c r="N154" s="57" t="str">
        <f t="shared" ca="1" si="26"/>
        <v/>
      </c>
    </row>
    <row r="155" spans="1:14">
      <c r="A155" s="105">
        <v>156</v>
      </c>
      <c r="B155" s="105" t="str">
        <f ca="1">VLOOKUP( $A155, Aop!$A$2:$P$456, 2, 0)</f>
        <v>BUa</v>
      </c>
      <c r="C155" s="57">
        <f t="shared" ca="1" si="22"/>
        <v>2</v>
      </c>
      <c r="D155" s="57" t="str">
        <f t="shared" ca="1" si="19"/>
        <v>01111329</v>
      </c>
      <c r="E155" s="57" t="str">
        <f t="shared" ca="1" si="20"/>
        <v>4400692320002</v>
      </c>
      <c r="F155" s="57" t="b">
        <f t="shared" ca="1" si="23"/>
        <v>0</v>
      </c>
      <c r="G155" s="140">
        <f t="shared" ca="1" si="24"/>
        <v>44742</v>
      </c>
      <c r="H155" s="105">
        <f ca="1">VLOOKUP( $A155, Aop!$A$2:$P$456, 4, 0)</f>
        <v>218</v>
      </c>
      <c r="I155" s="57">
        <f t="shared" ca="1" si="21"/>
        <v>2022</v>
      </c>
      <c r="J155" s="57"/>
      <c r="K155" s="57"/>
      <c r="L155" s="57"/>
      <c r="M155" s="57" t="str">
        <f t="shared" ca="1" si="25"/>
        <v/>
      </c>
      <c r="N155" s="57">
        <f t="shared" ca="1" si="26"/>
        <v>17118609</v>
      </c>
    </row>
    <row r="156" spans="1:14">
      <c r="A156" s="105">
        <v>157</v>
      </c>
      <c r="B156" s="105" t="str">
        <f ca="1">VLOOKUP( $A156, Aop!$A$2:$P$456, 2, 0)</f>
        <v>BUa</v>
      </c>
      <c r="C156" s="57">
        <f t="shared" ca="1" si="22"/>
        <v>2</v>
      </c>
      <c r="D156" s="57" t="str">
        <f t="shared" ca="1" si="19"/>
        <v>01111329</v>
      </c>
      <c r="E156" s="57" t="str">
        <f t="shared" ca="1" si="20"/>
        <v>4400692320002</v>
      </c>
      <c r="F156" s="57" t="b">
        <f t="shared" ca="1" si="23"/>
        <v>0</v>
      </c>
      <c r="G156" s="140">
        <f t="shared" ca="1" si="24"/>
        <v>44742</v>
      </c>
      <c r="H156" s="105">
        <f ca="1">VLOOKUP( $A156, Aop!$A$2:$P$456, 4, 0)</f>
        <v>219</v>
      </c>
      <c r="I156" s="57">
        <f t="shared" ca="1" si="21"/>
        <v>2022</v>
      </c>
      <c r="J156" s="57"/>
      <c r="K156" s="57"/>
      <c r="L156" s="57"/>
      <c r="M156" s="57" t="str">
        <f t="shared" ca="1" si="25"/>
        <v/>
      </c>
      <c r="N156" s="57">
        <f t="shared" ca="1" si="26"/>
        <v>1493742</v>
      </c>
    </row>
    <row r="157" spans="1:14">
      <c r="A157" s="105">
        <v>158</v>
      </c>
      <c r="B157" s="105" t="str">
        <f ca="1">VLOOKUP( $A157, Aop!$A$2:$P$456, 2, 0)</f>
        <v>BUa</v>
      </c>
      <c r="C157" s="57">
        <f t="shared" ca="1" si="22"/>
        <v>2</v>
      </c>
      <c r="D157" s="57" t="str">
        <f t="shared" ca="1" si="19"/>
        <v>01111329</v>
      </c>
      <c r="E157" s="57" t="str">
        <f t="shared" ca="1" si="20"/>
        <v>4400692320002</v>
      </c>
      <c r="F157" s="57" t="b">
        <f t="shared" ca="1" si="23"/>
        <v>0</v>
      </c>
      <c r="G157" s="140">
        <f t="shared" ca="1" si="24"/>
        <v>44742</v>
      </c>
      <c r="H157" s="105">
        <f ca="1">VLOOKUP( $A157, Aop!$A$2:$P$456, 4, 0)</f>
        <v>220</v>
      </c>
      <c r="I157" s="57">
        <f t="shared" ca="1" si="21"/>
        <v>2022</v>
      </c>
      <c r="J157" s="57"/>
      <c r="K157" s="57"/>
      <c r="L157" s="57"/>
      <c r="M157" s="57" t="str">
        <f t="shared" ca="1" si="25"/>
        <v/>
      </c>
      <c r="N157" s="57" t="str">
        <f t="shared" ca="1" si="26"/>
        <v/>
      </c>
    </row>
    <row r="158" spans="1:14">
      <c r="A158" s="105">
        <v>159</v>
      </c>
      <c r="B158" s="57" t="str">
        <f ca="1">VLOOKUP( $A158, Aop!$A$2:$P$456, 2, 0)</f>
        <v>BUa</v>
      </c>
      <c r="C158" s="57">
        <f ca="1">ID_Izvjestaj</f>
        <v>2</v>
      </c>
      <c r="D158" s="57" t="str">
        <f ca="1">Podatak_MB</f>
        <v>01111329</v>
      </c>
      <c r="E158" s="57" t="str">
        <f ca="1">Podatak_JIB</f>
        <v>4400692320002</v>
      </c>
      <c r="F158" s="57" t="b">
        <f ca="1">Konsolidovan_izvjestaj</f>
        <v>0</v>
      </c>
      <c r="G158" s="140">
        <f ca="1">Datum_Broj</f>
        <v>44742</v>
      </c>
      <c r="H158" s="57">
        <f ca="1">VLOOKUP( $A158, Aop!$A$2:$P$456, 4, 0)</f>
        <v>221</v>
      </c>
      <c r="I158" s="57">
        <f ca="1">Godina</f>
        <v>2022</v>
      </c>
      <c r="J158" s="57"/>
      <c r="K158" s="57"/>
      <c r="L158" s="57"/>
      <c r="M158" s="57" t="str">
        <f t="shared" ca="1" si="25"/>
        <v/>
      </c>
      <c r="N158" s="57">
        <f t="shared" ca="1" si="26"/>
        <v>15975</v>
      </c>
    </row>
    <row r="159" spans="1:14">
      <c r="A159" s="105">
        <v>160</v>
      </c>
      <c r="B159" s="105" t="str">
        <f ca="1">VLOOKUP( $A159, Aop!$A$2:$P$456, 2, 0)</f>
        <v>BUa</v>
      </c>
      <c r="C159" s="57">
        <f t="shared" ca="1" si="22"/>
        <v>2</v>
      </c>
      <c r="D159" s="57" t="str">
        <f t="shared" ca="1" si="19"/>
        <v>01111329</v>
      </c>
      <c r="E159" s="57" t="str">
        <f t="shared" ca="1" si="20"/>
        <v>4400692320002</v>
      </c>
      <c r="F159" s="57" t="b">
        <f t="shared" ca="1" si="23"/>
        <v>0</v>
      </c>
      <c r="G159" s="140">
        <f t="shared" ca="1" si="24"/>
        <v>44742</v>
      </c>
      <c r="H159" s="105">
        <f ca="1">VLOOKUP( $A159, Aop!$A$2:$P$456, 4, 0)</f>
        <v>222</v>
      </c>
      <c r="I159" s="57">
        <f t="shared" ca="1" si="21"/>
        <v>2022</v>
      </c>
      <c r="J159" s="57"/>
      <c r="K159" s="57"/>
      <c r="L159" s="57"/>
      <c r="M159" s="57" t="str">
        <f t="shared" ca="1" si="25"/>
        <v/>
      </c>
      <c r="N159" s="57">
        <f t="shared" ca="1" si="26"/>
        <v>52128</v>
      </c>
    </row>
    <row r="160" spans="1:14">
      <c r="A160" s="105">
        <v>161</v>
      </c>
      <c r="B160" s="105" t="str">
        <f ca="1">VLOOKUP( $A160, Aop!$A$2:$P$456, 2, 0)</f>
        <v>BUa</v>
      </c>
      <c r="C160" s="57">
        <f t="shared" ca="1" si="22"/>
        <v>2</v>
      </c>
      <c r="D160" s="57" t="str">
        <f t="shared" ca="1" si="19"/>
        <v>01111329</v>
      </c>
      <c r="E160" s="57" t="str">
        <f t="shared" ca="1" si="20"/>
        <v>4400692320002</v>
      </c>
      <c r="F160" s="57" t="b">
        <f t="shared" ca="1" si="23"/>
        <v>0</v>
      </c>
      <c r="G160" s="140">
        <f t="shared" ca="1" si="24"/>
        <v>44742</v>
      </c>
      <c r="H160" s="105">
        <f ca="1">VLOOKUP( $A160, Aop!$A$2:$P$456, 4, 0)</f>
        <v>223</v>
      </c>
      <c r="I160" s="57">
        <f t="shared" ca="1" si="21"/>
        <v>2022</v>
      </c>
      <c r="J160" s="57"/>
      <c r="K160" s="57"/>
      <c r="L160" s="57"/>
      <c r="M160" s="57" t="str">
        <f t="shared" ca="1" si="25"/>
        <v/>
      </c>
      <c r="N160" s="57">
        <f t="shared" ca="1" si="26"/>
        <v>596524</v>
      </c>
    </row>
    <row r="161" spans="1:14">
      <c r="A161" s="105">
        <v>162</v>
      </c>
      <c r="B161" s="105" t="str">
        <f ca="1">VLOOKUP( $A161, Aop!$A$2:$P$456, 2, 0)</f>
        <v>BUa</v>
      </c>
      <c r="C161" s="57">
        <f t="shared" ca="1" si="22"/>
        <v>2</v>
      </c>
      <c r="D161" s="57" t="str">
        <f t="shared" ca="1" si="19"/>
        <v>01111329</v>
      </c>
      <c r="E161" s="57" t="str">
        <f t="shared" ca="1" si="20"/>
        <v>4400692320002</v>
      </c>
      <c r="F161" s="57" t="b">
        <f t="shared" ca="1" si="23"/>
        <v>0</v>
      </c>
      <c r="G161" s="140">
        <f t="shared" ca="1" si="24"/>
        <v>44742</v>
      </c>
      <c r="H161" s="105">
        <f ca="1">VLOOKUP( $A161, Aop!$A$2:$P$456, 4, 0)</f>
        <v>224</v>
      </c>
      <c r="I161" s="57">
        <f t="shared" ca="1" si="21"/>
        <v>2022</v>
      </c>
      <c r="J161" s="57"/>
      <c r="K161" s="57"/>
      <c r="L161" s="57"/>
      <c r="M161" s="57" t="str">
        <f t="shared" ca="1" si="25"/>
        <v/>
      </c>
      <c r="N161" s="57">
        <f t="shared" ca="1" si="26"/>
        <v>526208</v>
      </c>
    </row>
    <row r="162" spans="1:14">
      <c r="A162" s="105">
        <v>163</v>
      </c>
      <c r="B162" s="105" t="str">
        <f ca="1">VLOOKUP( $A162, Aop!$A$2:$P$456, 2, 0)</f>
        <v>BUa</v>
      </c>
      <c r="C162" s="57">
        <f t="shared" ca="1" si="22"/>
        <v>2</v>
      </c>
      <c r="D162" s="57" t="str">
        <f t="shared" ca="1" si="19"/>
        <v>01111329</v>
      </c>
      <c r="E162" s="57" t="str">
        <f t="shared" ca="1" si="20"/>
        <v>4400692320002</v>
      </c>
      <c r="F162" s="57" t="b">
        <f t="shared" ca="1" si="23"/>
        <v>0</v>
      </c>
      <c r="G162" s="140">
        <f t="shared" ca="1" si="24"/>
        <v>44742</v>
      </c>
      <c r="H162" s="105">
        <f ca="1">VLOOKUP( $A162, Aop!$A$2:$P$456, 4, 0)</f>
        <v>225</v>
      </c>
      <c r="I162" s="57">
        <f t="shared" ca="1" si="21"/>
        <v>2022</v>
      </c>
      <c r="J162" s="57"/>
      <c r="K162" s="57"/>
      <c r="L162" s="57"/>
      <c r="M162" s="57" t="str">
        <f t="shared" ca="1" si="25"/>
        <v/>
      </c>
      <c r="N162" s="57">
        <f t="shared" ca="1" si="26"/>
        <v>70316</v>
      </c>
    </row>
    <row r="163" spans="1:14">
      <c r="A163" s="105">
        <v>164</v>
      </c>
      <c r="B163" s="105" t="str">
        <f ca="1">VLOOKUP( $A163, Aop!$A$2:$P$456, 2, 0)</f>
        <v>BUa</v>
      </c>
      <c r="C163" s="57">
        <f t="shared" ca="1" si="22"/>
        <v>2</v>
      </c>
      <c r="D163" s="57" t="str">
        <f t="shared" ca="1" si="19"/>
        <v>01111329</v>
      </c>
      <c r="E163" s="57" t="str">
        <f t="shared" ca="1" si="20"/>
        <v>4400692320002</v>
      </c>
      <c r="F163" s="57" t="b">
        <f t="shared" ca="1" si="23"/>
        <v>0</v>
      </c>
      <c r="G163" s="140">
        <f t="shared" ca="1" si="24"/>
        <v>44742</v>
      </c>
      <c r="H163" s="105">
        <f ca="1">VLOOKUP( $A163, Aop!$A$2:$P$456, 4, 0)</f>
        <v>226</v>
      </c>
      <c r="I163" s="57">
        <f t="shared" ca="1" si="21"/>
        <v>2022</v>
      </c>
      <c r="J163" s="57"/>
      <c r="K163" s="57"/>
      <c r="L163" s="57"/>
      <c r="M163" s="57" t="str">
        <f t="shared" ca="1" si="25"/>
        <v/>
      </c>
      <c r="N163" s="57">
        <f t="shared" ca="1" si="26"/>
        <v>520869</v>
      </c>
    </row>
    <row r="164" spans="1:14">
      <c r="A164" s="105">
        <v>165</v>
      </c>
      <c r="B164" s="105" t="str">
        <f ca="1">VLOOKUP( $A164, Aop!$A$2:$P$456, 2, 0)</f>
        <v>BUa</v>
      </c>
      <c r="C164" s="57">
        <f t="shared" ca="1" si="22"/>
        <v>2</v>
      </c>
      <c r="D164" s="57" t="str">
        <f t="shared" ca="1" si="19"/>
        <v>01111329</v>
      </c>
      <c r="E164" s="57" t="str">
        <f t="shared" ca="1" si="20"/>
        <v>4400692320002</v>
      </c>
      <c r="F164" s="57" t="b">
        <f t="shared" ca="1" si="23"/>
        <v>0</v>
      </c>
      <c r="G164" s="140">
        <f t="shared" ca="1" si="24"/>
        <v>44742</v>
      </c>
      <c r="H164" s="105">
        <f ca="1">VLOOKUP( $A164, Aop!$A$2:$P$456, 4, 0)</f>
        <v>227</v>
      </c>
      <c r="I164" s="57">
        <f t="shared" ca="1" si="21"/>
        <v>2022</v>
      </c>
      <c r="J164" s="57"/>
      <c r="K164" s="57"/>
      <c r="L164" s="57"/>
      <c r="M164" s="57" t="str">
        <f t="shared" ca="1" si="25"/>
        <v/>
      </c>
      <c r="N164" s="57">
        <f t="shared" ca="1" si="26"/>
        <v>223876</v>
      </c>
    </row>
    <row r="165" spans="1:14">
      <c r="A165" s="105">
        <v>167</v>
      </c>
      <c r="B165" s="105" t="str">
        <f ca="1">VLOOKUP( $A165, Aop!$A$2:$P$456, 2, 0)</f>
        <v>BUa</v>
      </c>
      <c r="C165" s="57">
        <f t="shared" ca="1" si="22"/>
        <v>2</v>
      </c>
      <c r="D165" s="57" t="str">
        <f t="shared" ca="1" si="19"/>
        <v>01111329</v>
      </c>
      <c r="E165" s="57" t="str">
        <f t="shared" ca="1" si="20"/>
        <v>4400692320002</v>
      </c>
      <c r="F165" s="57" t="b">
        <f t="shared" ca="1" si="23"/>
        <v>0</v>
      </c>
      <c r="G165" s="140">
        <f t="shared" ca="1" si="24"/>
        <v>44742</v>
      </c>
      <c r="H165" s="105">
        <f ca="1">VLOOKUP( $A165, Aop!$A$2:$P$456, 4, 0)</f>
        <v>229</v>
      </c>
      <c r="I165" s="57">
        <f t="shared" ca="1" si="21"/>
        <v>2022</v>
      </c>
      <c r="J165" s="57"/>
      <c r="K165" s="57"/>
      <c r="L165" s="57"/>
      <c r="M165" s="57" t="str">
        <f t="shared" ca="1" si="25"/>
        <v/>
      </c>
      <c r="N165" s="57">
        <f t="shared" ca="1" si="26"/>
        <v>223876</v>
      </c>
    </row>
    <row r="166" spans="1:14">
      <c r="A166" s="105">
        <v>168</v>
      </c>
      <c r="B166" s="105" t="str">
        <f ca="1">VLOOKUP( $A166, Aop!$A$2:$P$456, 2, 0)</f>
        <v>BUa</v>
      </c>
      <c r="C166" s="57">
        <f t="shared" ca="1" si="22"/>
        <v>2</v>
      </c>
      <c r="D166" s="57" t="str">
        <f t="shared" ca="1" si="19"/>
        <v>01111329</v>
      </c>
      <c r="E166" s="57" t="str">
        <f t="shared" ca="1" si="20"/>
        <v>4400692320002</v>
      </c>
      <c r="F166" s="57" t="b">
        <f t="shared" ca="1" si="23"/>
        <v>0</v>
      </c>
      <c r="G166" s="140">
        <f t="shared" ca="1" si="24"/>
        <v>44742</v>
      </c>
      <c r="H166" s="105">
        <f ca="1">VLOOKUP( $A166, Aop!$A$2:$P$456, 4, 0)</f>
        <v>230</v>
      </c>
      <c r="I166" s="57">
        <f t="shared" ca="1" si="21"/>
        <v>2022</v>
      </c>
      <c r="J166" s="57"/>
      <c r="K166" s="57"/>
      <c r="L166" s="57"/>
      <c r="M166" s="57" t="str">
        <f t="shared" ca="1" si="25"/>
        <v/>
      </c>
      <c r="N166" s="57" t="str">
        <f t="shared" ca="1" si="26"/>
        <v/>
      </c>
    </row>
    <row r="167" spans="1:14">
      <c r="A167" s="105">
        <v>169</v>
      </c>
      <c r="B167" s="105" t="str">
        <f ca="1">VLOOKUP( $A167, Aop!$A$2:$P$456, 2, 0)</f>
        <v>BUa</v>
      </c>
      <c r="C167" s="57">
        <f t="shared" ca="1" si="22"/>
        <v>2</v>
      </c>
      <c r="D167" s="57" t="str">
        <f t="shared" ca="1" si="19"/>
        <v>01111329</v>
      </c>
      <c r="E167" s="57" t="str">
        <f t="shared" ca="1" si="20"/>
        <v>4400692320002</v>
      </c>
      <c r="F167" s="57" t="b">
        <f t="shared" ca="1" si="23"/>
        <v>0</v>
      </c>
      <c r="G167" s="140">
        <f t="shared" ca="1" si="24"/>
        <v>44742</v>
      </c>
      <c r="H167" s="105">
        <f ca="1">VLOOKUP( $A167, Aop!$A$2:$P$456, 4, 0)</f>
        <v>231</v>
      </c>
      <c r="I167" s="57">
        <f t="shared" ca="1" si="21"/>
        <v>2022</v>
      </c>
      <c r="J167" s="57"/>
      <c r="K167" s="57"/>
      <c r="L167" s="57"/>
      <c r="M167" s="57" t="str">
        <f t="shared" ca="1" si="25"/>
        <v/>
      </c>
      <c r="N167" s="57" t="str">
        <f t="shared" ca="1" si="26"/>
        <v/>
      </c>
    </row>
    <row r="168" spans="1:14">
      <c r="A168" s="105">
        <v>170</v>
      </c>
      <c r="B168" s="105" t="str">
        <f ca="1">VLOOKUP( $A168, Aop!$A$2:$P$456, 2, 0)</f>
        <v>BUa</v>
      </c>
      <c r="C168" s="57">
        <f t="shared" ca="1" si="22"/>
        <v>2</v>
      </c>
      <c r="D168" s="57" t="str">
        <f t="shared" ca="1" si="19"/>
        <v>01111329</v>
      </c>
      <c r="E168" s="57" t="str">
        <f t="shared" ca="1" si="20"/>
        <v>4400692320002</v>
      </c>
      <c r="F168" s="57" t="b">
        <f t="shared" ca="1" si="23"/>
        <v>0</v>
      </c>
      <c r="G168" s="140">
        <f t="shared" ca="1" si="24"/>
        <v>44742</v>
      </c>
      <c r="H168" s="105">
        <f ca="1">VLOOKUP( $A168, Aop!$A$2:$P$456, 4, 0)</f>
        <v>232</v>
      </c>
      <c r="I168" s="57">
        <f t="shared" ca="1" si="21"/>
        <v>2022</v>
      </c>
      <c r="J168" s="57"/>
      <c r="K168" s="57"/>
      <c r="L168" s="57"/>
      <c r="M168" s="57" t="str">
        <f t="shared" ca="1" si="25"/>
        <v/>
      </c>
      <c r="N168" s="57" t="str">
        <f t="shared" ca="1" si="26"/>
        <v/>
      </c>
    </row>
    <row r="169" spans="1:14">
      <c r="A169" s="105">
        <v>171</v>
      </c>
      <c r="B169" s="105" t="str">
        <f ca="1">VLOOKUP( $A169, Aop!$A$2:$P$456, 2, 0)</f>
        <v>BUa</v>
      </c>
      <c r="C169" s="57">
        <f t="shared" ca="1" si="22"/>
        <v>2</v>
      </c>
      <c r="D169" s="57" t="str">
        <f t="shared" ca="1" si="19"/>
        <v>01111329</v>
      </c>
      <c r="E169" s="57" t="str">
        <f t="shared" ca="1" si="20"/>
        <v>4400692320002</v>
      </c>
      <c r="F169" s="57" t="b">
        <f t="shared" ca="1" si="23"/>
        <v>0</v>
      </c>
      <c r="G169" s="140">
        <f t="shared" ca="1" si="24"/>
        <v>44742</v>
      </c>
      <c r="H169" s="105">
        <f ca="1">VLOOKUP( $A169, Aop!$A$2:$P$456, 4, 0)</f>
        <v>233</v>
      </c>
      <c r="I169" s="57">
        <f t="shared" ca="1" si="21"/>
        <v>2022</v>
      </c>
      <c r="J169" s="57"/>
      <c r="K169" s="57"/>
      <c r="L169" s="57"/>
      <c r="M169" s="57" t="str">
        <f t="shared" ca="1" si="25"/>
        <v/>
      </c>
      <c r="N169" s="57" t="str">
        <f t="shared" ca="1" si="26"/>
        <v/>
      </c>
    </row>
    <row r="170" spans="1:14">
      <c r="A170" s="105">
        <v>172</v>
      </c>
      <c r="B170" s="105" t="str">
        <f ca="1">VLOOKUP( $A170, Aop!$A$2:$P$456, 2, 0)</f>
        <v>BUa</v>
      </c>
      <c r="C170" s="57">
        <f t="shared" ca="1" si="22"/>
        <v>2</v>
      </c>
      <c r="D170" s="57" t="str">
        <f t="shared" ca="1" si="19"/>
        <v>01111329</v>
      </c>
      <c r="E170" s="57" t="str">
        <f t="shared" ca="1" si="20"/>
        <v>4400692320002</v>
      </c>
      <c r="F170" s="57" t="b">
        <f t="shared" ca="1" si="23"/>
        <v>0</v>
      </c>
      <c r="G170" s="140">
        <f t="shared" ca="1" si="24"/>
        <v>44742</v>
      </c>
      <c r="H170" s="105">
        <f ca="1">VLOOKUP( $A170, Aop!$A$2:$P$456, 4, 0)</f>
        <v>234</v>
      </c>
      <c r="I170" s="57">
        <f t="shared" ca="1" si="21"/>
        <v>2022</v>
      </c>
      <c r="J170" s="57"/>
      <c r="K170" s="57"/>
      <c r="L170" s="57"/>
      <c r="M170" s="57" t="str">
        <f t="shared" ca="1" si="25"/>
        <v/>
      </c>
      <c r="N170" s="57">
        <f t="shared" ca="1" si="26"/>
        <v>54410</v>
      </c>
    </row>
    <row r="171" spans="1:14">
      <c r="A171" s="105">
        <v>173</v>
      </c>
      <c r="B171" s="105" t="str">
        <f ca="1">VLOOKUP( $A171, Aop!$A$2:$P$456, 2, 0)</f>
        <v>BUa</v>
      </c>
      <c r="C171" s="57">
        <f t="shared" ca="1" si="22"/>
        <v>2</v>
      </c>
      <c r="D171" s="57" t="str">
        <f t="shared" ca="1" si="19"/>
        <v>01111329</v>
      </c>
      <c r="E171" s="57" t="str">
        <f t="shared" ca="1" si="20"/>
        <v>4400692320002</v>
      </c>
      <c r="F171" s="57" t="b">
        <f t="shared" ca="1" si="23"/>
        <v>0</v>
      </c>
      <c r="G171" s="140">
        <f t="shared" ca="1" si="24"/>
        <v>44742</v>
      </c>
      <c r="H171" s="105">
        <f ca="1">VLOOKUP( $A171, Aop!$A$2:$P$456, 4, 0)</f>
        <v>235</v>
      </c>
      <c r="I171" s="57">
        <f t="shared" ca="1" si="21"/>
        <v>2022</v>
      </c>
      <c r="J171" s="57"/>
      <c r="K171" s="57"/>
      <c r="L171" s="57"/>
      <c r="M171" s="57" t="str">
        <f t="shared" ca="1" si="25"/>
        <v/>
      </c>
      <c r="N171" s="57">
        <f t="shared" ca="1" si="26"/>
        <v>27329</v>
      </c>
    </row>
    <row r="172" spans="1:14">
      <c r="A172" s="105">
        <v>174</v>
      </c>
      <c r="B172" s="57" t="str">
        <f ca="1">VLOOKUP( $A172, Aop!$A$2:$P$456, 2, 0)</f>
        <v>BUa</v>
      </c>
      <c r="C172" s="57">
        <f ca="1">ID_Izvjestaj</f>
        <v>2</v>
      </c>
      <c r="D172" s="57" t="str">
        <f ca="1">Podatak_MB</f>
        <v>01111329</v>
      </c>
      <c r="E172" s="57" t="str">
        <f ca="1">Podatak_JIB</f>
        <v>4400692320002</v>
      </c>
      <c r="F172" s="57" t="b">
        <f ca="1">Konsolidovan_izvjestaj</f>
        <v>0</v>
      </c>
      <c r="G172" s="140">
        <f ca="1">Datum_Broj</f>
        <v>44742</v>
      </c>
      <c r="H172" s="57">
        <f ca="1">VLOOKUP( $A172, Aop!$A$2:$P$456, 4, 0)</f>
        <v>236</v>
      </c>
      <c r="I172" s="57">
        <f ca="1">Godina</f>
        <v>2022</v>
      </c>
      <c r="J172" s="57"/>
      <c r="K172" s="57"/>
      <c r="L172" s="57"/>
      <c r="M172" s="57" t="str">
        <f t="shared" ca="1" si="25"/>
        <v/>
      </c>
      <c r="N172" s="57">
        <f t="shared" ca="1" si="26"/>
        <v>2631</v>
      </c>
    </row>
    <row r="173" spans="1:14">
      <c r="A173" s="105">
        <v>175</v>
      </c>
      <c r="B173" s="105" t="str">
        <f ca="1">VLOOKUP( $A173, Aop!$A$2:$P$456, 2, 0)</f>
        <v>BUa</v>
      </c>
      <c r="C173" s="57">
        <f t="shared" ca="1" si="22"/>
        <v>2</v>
      </c>
      <c r="D173" s="57" t="str">
        <f t="shared" ca="1" si="19"/>
        <v>01111329</v>
      </c>
      <c r="E173" s="57" t="str">
        <f t="shared" ca="1" si="20"/>
        <v>4400692320002</v>
      </c>
      <c r="F173" s="57" t="b">
        <f t="shared" ca="1" si="23"/>
        <v>0</v>
      </c>
      <c r="G173" s="140">
        <f t="shared" ca="1" si="24"/>
        <v>44742</v>
      </c>
      <c r="H173" s="105">
        <f ca="1">VLOOKUP( $A173, Aop!$A$2:$P$456, 4, 0)</f>
        <v>237</v>
      </c>
      <c r="I173" s="57">
        <f t="shared" ca="1" si="21"/>
        <v>2022</v>
      </c>
      <c r="J173" s="57"/>
      <c r="K173" s="57"/>
      <c r="L173" s="57"/>
      <c r="M173" s="57" t="str">
        <f t="shared" ca="1" si="25"/>
        <v/>
      </c>
      <c r="N173" s="57">
        <f t="shared" ca="1" si="26"/>
        <v>16470040</v>
      </c>
    </row>
    <row r="174" spans="1:14">
      <c r="A174" s="105">
        <v>176</v>
      </c>
      <c r="B174" s="105" t="str">
        <f ca="1">VLOOKUP( $A174, Aop!$A$2:$P$456, 2, 0)</f>
        <v>BUa</v>
      </c>
      <c r="C174" s="57">
        <f t="shared" ca="1" si="22"/>
        <v>2</v>
      </c>
      <c r="D174" s="57" t="str">
        <f t="shared" ca="1" si="19"/>
        <v>01111329</v>
      </c>
      <c r="E174" s="57" t="str">
        <f t="shared" ca="1" si="20"/>
        <v>4400692320002</v>
      </c>
      <c r="F174" s="57" t="b">
        <f t="shared" ca="1" si="23"/>
        <v>0</v>
      </c>
      <c r="G174" s="140">
        <f t="shared" ca="1" si="24"/>
        <v>44742</v>
      </c>
      <c r="H174" s="105">
        <f ca="1">VLOOKUP( $A174, Aop!$A$2:$P$456, 4, 0)</f>
        <v>238</v>
      </c>
      <c r="I174" s="57">
        <f t="shared" ca="1" si="21"/>
        <v>2022</v>
      </c>
      <c r="J174" s="57"/>
      <c r="K174" s="57"/>
      <c r="L174" s="57"/>
      <c r="M174" s="57" t="str">
        <f t="shared" ca="1" si="25"/>
        <v/>
      </c>
      <c r="N174" s="57">
        <f t="shared" ca="1" si="26"/>
        <v>0</v>
      </c>
    </row>
    <row r="175" spans="1:14">
      <c r="A175" s="105">
        <v>177</v>
      </c>
      <c r="B175" s="105" t="str">
        <f ca="1">VLOOKUP( $A175, Aop!$A$2:$P$456, 2, 0)</f>
        <v>BUa</v>
      </c>
      <c r="C175" s="57">
        <f t="shared" ca="1" si="22"/>
        <v>2</v>
      </c>
      <c r="D175" s="57" t="str">
        <f t="shared" ca="1" si="19"/>
        <v>01111329</v>
      </c>
      <c r="E175" s="57" t="str">
        <f t="shared" ca="1" si="20"/>
        <v>4400692320002</v>
      </c>
      <c r="F175" s="57" t="b">
        <f t="shared" ca="1" si="23"/>
        <v>0</v>
      </c>
      <c r="G175" s="140">
        <f t="shared" ca="1" si="24"/>
        <v>44742</v>
      </c>
      <c r="H175" s="105">
        <f ca="1">VLOOKUP( $A175, Aop!$A$2:$P$456, 4, 0)</f>
        <v>239</v>
      </c>
      <c r="I175" s="57">
        <f t="shared" ca="1" si="21"/>
        <v>2022</v>
      </c>
      <c r="J175" s="57"/>
      <c r="K175" s="57"/>
      <c r="L175" s="57"/>
      <c r="M175" s="57" t="str">
        <f t="shared" ca="1" si="25"/>
        <v/>
      </c>
      <c r="N175" s="57">
        <f t="shared" ca="1" si="26"/>
        <v>4464</v>
      </c>
    </row>
    <row r="176" spans="1:14">
      <c r="A176" s="105">
        <v>178</v>
      </c>
      <c r="B176" s="105" t="str">
        <f ca="1">VLOOKUP( $A176, Aop!$A$2:$P$456, 2, 0)</f>
        <v>BUa</v>
      </c>
      <c r="C176" s="57">
        <f t="shared" ca="1" si="22"/>
        <v>2</v>
      </c>
      <c r="D176" s="57" t="str">
        <f t="shared" ca="1" si="19"/>
        <v>01111329</v>
      </c>
      <c r="E176" s="57" t="str">
        <f t="shared" ca="1" si="20"/>
        <v>4400692320002</v>
      </c>
      <c r="F176" s="57" t="b">
        <f t="shared" ca="1" si="23"/>
        <v>0</v>
      </c>
      <c r="G176" s="140">
        <f t="shared" ca="1" si="24"/>
        <v>44742</v>
      </c>
      <c r="H176" s="105">
        <f ca="1">VLOOKUP( $A176, Aop!$A$2:$P$456, 4, 0)</f>
        <v>240</v>
      </c>
      <c r="I176" s="57">
        <f t="shared" ca="1" si="21"/>
        <v>2022</v>
      </c>
      <c r="J176" s="57"/>
      <c r="K176" s="57"/>
      <c r="L176" s="57"/>
      <c r="M176" s="57" t="str">
        <f t="shared" ca="1" si="25"/>
        <v/>
      </c>
      <c r="N176" s="57" t="str">
        <f t="shared" ca="1" si="26"/>
        <v/>
      </c>
    </row>
    <row r="177" spans="1:14">
      <c r="A177" s="105">
        <v>179</v>
      </c>
      <c r="B177" s="105" t="str">
        <f ca="1">VLOOKUP( $A177, Aop!$A$2:$P$456, 2, 0)</f>
        <v>BUa</v>
      </c>
      <c r="C177" s="57">
        <f t="shared" ca="1" si="22"/>
        <v>2</v>
      </c>
      <c r="D177" s="57" t="str">
        <f t="shared" ca="1" si="19"/>
        <v>01111329</v>
      </c>
      <c r="E177" s="57" t="str">
        <f t="shared" ca="1" si="20"/>
        <v>4400692320002</v>
      </c>
      <c r="F177" s="57" t="b">
        <f t="shared" ca="1" si="23"/>
        <v>0</v>
      </c>
      <c r="G177" s="140">
        <f t="shared" ca="1" si="24"/>
        <v>44742</v>
      </c>
      <c r="H177" s="105">
        <f ca="1">VLOOKUP( $A177, Aop!$A$2:$P$456, 4, 0)</f>
        <v>241</v>
      </c>
      <c r="I177" s="57">
        <f t="shared" ca="1" si="21"/>
        <v>2022</v>
      </c>
      <c r="J177" s="57"/>
      <c r="K177" s="57"/>
      <c r="L177" s="57"/>
      <c r="M177" s="57" t="str">
        <f t="shared" ca="1" si="25"/>
        <v/>
      </c>
      <c r="N177" s="57" t="str">
        <f t="shared" ca="1" si="26"/>
        <v/>
      </c>
    </row>
    <row r="178" spans="1:14">
      <c r="A178" s="105">
        <v>180</v>
      </c>
      <c r="B178" s="105" t="str">
        <f ca="1">VLOOKUP( $A178, Aop!$A$2:$P$456, 2, 0)</f>
        <v>BUa</v>
      </c>
      <c r="C178" s="57">
        <f t="shared" ca="1" si="22"/>
        <v>2</v>
      </c>
      <c r="D178" s="57" t="str">
        <f t="shared" ca="1" si="19"/>
        <v>01111329</v>
      </c>
      <c r="E178" s="57" t="str">
        <f t="shared" ca="1" si="20"/>
        <v>4400692320002</v>
      </c>
      <c r="F178" s="57" t="b">
        <f t="shared" ca="1" si="23"/>
        <v>0</v>
      </c>
      <c r="G178" s="140">
        <f t="shared" ca="1" si="24"/>
        <v>44742</v>
      </c>
      <c r="H178" s="105">
        <f ca="1">VLOOKUP( $A178, Aop!$A$2:$P$456, 4, 0)</f>
        <v>242</v>
      </c>
      <c r="I178" s="57">
        <f t="shared" ca="1" si="21"/>
        <v>2022</v>
      </c>
      <c r="J178" s="57"/>
      <c r="K178" s="57"/>
      <c r="L178" s="57"/>
      <c r="M178" s="57" t="str">
        <f t="shared" ca="1" si="25"/>
        <v/>
      </c>
      <c r="N178" s="57" t="str">
        <f t="shared" ca="1" si="26"/>
        <v/>
      </c>
    </row>
    <row r="179" spans="1:14">
      <c r="A179" s="105">
        <v>181</v>
      </c>
      <c r="B179" s="105" t="str">
        <f ca="1">VLOOKUP( $A179, Aop!$A$2:$P$456, 2, 0)</f>
        <v>BUa</v>
      </c>
      <c r="C179" s="57">
        <f t="shared" ca="1" si="22"/>
        <v>2</v>
      </c>
      <c r="D179" s="57" t="str">
        <f t="shared" ca="1" si="19"/>
        <v>01111329</v>
      </c>
      <c r="E179" s="57" t="str">
        <f t="shared" ca="1" si="20"/>
        <v>4400692320002</v>
      </c>
      <c r="F179" s="57" t="b">
        <f t="shared" ca="1" si="23"/>
        <v>0</v>
      </c>
      <c r="G179" s="140">
        <f t="shared" ca="1" si="24"/>
        <v>44742</v>
      </c>
      <c r="H179" s="105">
        <f ca="1">VLOOKUP( $A179, Aop!$A$2:$P$456, 4, 0)</f>
        <v>243</v>
      </c>
      <c r="I179" s="57">
        <f t="shared" ca="1" si="21"/>
        <v>2022</v>
      </c>
      <c r="J179" s="57"/>
      <c r="K179" s="57"/>
      <c r="L179" s="57"/>
      <c r="M179" s="57" t="str">
        <f t="shared" ca="1" si="25"/>
        <v/>
      </c>
      <c r="N179" s="57">
        <f t="shared" ca="1" si="26"/>
        <v>4464</v>
      </c>
    </row>
    <row r="180" spans="1:14">
      <c r="A180" s="105">
        <v>183</v>
      </c>
      <c r="B180" s="105" t="str">
        <f ca="1">VLOOKUP( $A180, Aop!$A$2:$P$456, 2, 0)</f>
        <v>BUa</v>
      </c>
      <c r="C180" s="57">
        <f t="shared" ca="1" si="22"/>
        <v>2</v>
      </c>
      <c r="D180" s="57" t="str">
        <f t="shared" ca="1" si="19"/>
        <v>01111329</v>
      </c>
      <c r="E180" s="57" t="str">
        <f t="shared" ca="1" si="20"/>
        <v>4400692320002</v>
      </c>
      <c r="F180" s="57" t="b">
        <f t="shared" ca="1" si="23"/>
        <v>0</v>
      </c>
      <c r="G180" s="140">
        <f t="shared" ca="1" si="24"/>
        <v>44742</v>
      </c>
      <c r="H180" s="105">
        <f ca="1">VLOOKUP( $A180, Aop!$A$2:$P$456, 4, 0)</f>
        <v>245</v>
      </c>
      <c r="I180" s="57">
        <f t="shared" ca="1" si="21"/>
        <v>2022</v>
      </c>
      <c r="J180" s="57"/>
      <c r="K180" s="57"/>
      <c r="L180" s="57"/>
      <c r="M180" s="57" t="str">
        <f t="shared" ca="1" si="25"/>
        <v/>
      </c>
      <c r="N180" s="57" t="str">
        <f t="shared" ca="1" si="26"/>
        <v/>
      </c>
    </row>
    <row r="181" spans="1:14">
      <c r="A181" s="105">
        <v>184</v>
      </c>
      <c r="B181" s="105" t="str">
        <f ca="1">VLOOKUP( $A181, Aop!$A$2:$P$456, 2, 0)</f>
        <v>BUa</v>
      </c>
      <c r="C181" s="57">
        <f t="shared" ca="1" si="22"/>
        <v>2</v>
      </c>
      <c r="D181" s="57" t="str">
        <f t="shared" ca="1" si="19"/>
        <v>01111329</v>
      </c>
      <c r="E181" s="57" t="str">
        <f t="shared" ca="1" si="20"/>
        <v>4400692320002</v>
      </c>
      <c r="F181" s="57" t="b">
        <f t="shared" ca="1" si="23"/>
        <v>0</v>
      </c>
      <c r="G181" s="140">
        <f t="shared" ca="1" si="24"/>
        <v>44742</v>
      </c>
      <c r="H181" s="105">
        <f ca="1">VLOOKUP( $A181, Aop!$A$2:$P$456, 4, 0)</f>
        <v>246</v>
      </c>
      <c r="I181" s="57">
        <f t="shared" ca="1" si="21"/>
        <v>2022</v>
      </c>
      <c r="J181" s="57"/>
      <c r="K181" s="57"/>
      <c r="L181" s="57"/>
      <c r="M181" s="57" t="str">
        <f t="shared" ca="1" si="25"/>
        <v/>
      </c>
      <c r="N181" s="57">
        <f t="shared" ca="1" si="26"/>
        <v>22</v>
      </c>
    </row>
    <row r="182" spans="1:14">
      <c r="A182" s="105">
        <v>185</v>
      </c>
      <c r="B182" s="105" t="str">
        <f ca="1">VLOOKUP( $A182, Aop!$A$2:$P$456, 2, 0)</f>
        <v>BUa</v>
      </c>
      <c r="C182" s="57">
        <f t="shared" ca="1" si="22"/>
        <v>2</v>
      </c>
      <c r="D182" s="57" t="str">
        <f t="shared" ca="1" si="19"/>
        <v>01111329</v>
      </c>
      <c r="E182" s="57" t="str">
        <f t="shared" ca="1" si="20"/>
        <v>4400692320002</v>
      </c>
      <c r="F182" s="57" t="b">
        <f t="shared" ca="1" si="23"/>
        <v>0</v>
      </c>
      <c r="G182" s="140">
        <f t="shared" ca="1" si="24"/>
        <v>44742</v>
      </c>
      <c r="H182" s="105">
        <f ca="1">VLOOKUP( $A182, Aop!$A$2:$P$456, 4, 0)</f>
        <v>247</v>
      </c>
      <c r="I182" s="57">
        <f t="shared" ca="1" si="21"/>
        <v>2022</v>
      </c>
      <c r="J182" s="57"/>
      <c r="K182" s="57"/>
      <c r="L182" s="57"/>
      <c r="M182" s="57" t="str">
        <f t="shared" ca="1" si="25"/>
        <v/>
      </c>
      <c r="N182" s="57" t="str">
        <f t="shared" ca="1" si="26"/>
        <v/>
      </c>
    </row>
    <row r="183" spans="1:14">
      <c r="A183" s="105">
        <v>186</v>
      </c>
      <c r="B183" s="105" t="str">
        <f ca="1">VLOOKUP( $A183, Aop!$A$2:$P$456, 2, 0)</f>
        <v>BUa</v>
      </c>
      <c r="C183" s="57">
        <f t="shared" ca="1" si="22"/>
        <v>2</v>
      </c>
      <c r="D183" s="57" t="str">
        <f t="shared" ca="1" si="19"/>
        <v>01111329</v>
      </c>
      <c r="E183" s="57" t="str">
        <f t="shared" ca="1" si="20"/>
        <v>4400692320002</v>
      </c>
      <c r="F183" s="57" t="b">
        <f t="shared" ca="1" si="23"/>
        <v>0</v>
      </c>
      <c r="G183" s="140">
        <f t="shared" ca="1" si="24"/>
        <v>44742</v>
      </c>
      <c r="H183" s="105">
        <f ca="1">VLOOKUP( $A183, Aop!$A$2:$P$456, 4, 0)</f>
        <v>248</v>
      </c>
      <c r="I183" s="57">
        <f t="shared" ca="1" si="21"/>
        <v>2022</v>
      </c>
      <c r="J183" s="57"/>
      <c r="K183" s="57"/>
      <c r="L183" s="57"/>
      <c r="M183" s="57" t="str">
        <f t="shared" ca="1" si="25"/>
        <v/>
      </c>
      <c r="N183" s="57">
        <f t="shared" ca="1" si="26"/>
        <v>452</v>
      </c>
    </row>
    <row r="184" spans="1:14">
      <c r="A184" s="105">
        <v>187</v>
      </c>
      <c r="B184" s="105" t="str">
        <f ca="1">VLOOKUP( $A184, Aop!$A$2:$P$456, 2, 0)</f>
        <v>BUa</v>
      </c>
      <c r="C184" s="57">
        <f t="shared" ca="1" si="22"/>
        <v>2</v>
      </c>
      <c r="D184" s="57" t="str">
        <f t="shared" ca="1" si="19"/>
        <v>01111329</v>
      </c>
      <c r="E184" s="57" t="str">
        <f t="shared" ca="1" si="20"/>
        <v>4400692320002</v>
      </c>
      <c r="F184" s="57" t="b">
        <f t="shared" ca="1" si="23"/>
        <v>0</v>
      </c>
      <c r="G184" s="140">
        <f t="shared" ca="1" si="24"/>
        <v>44742</v>
      </c>
      <c r="H184" s="105">
        <f ca="1">VLOOKUP( $A184, Aop!$A$2:$P$456, 4, 0)</f>
        <v>249</v>
      </c>
      <c r="I184" s="57">
        <f t="shared" ca="1" si="21"/>
        <v>2022</v>
      </c>
      <c r="J184" s="57"/>
      <c r="K184" s="57"/>
      <c r="L184" s="57"/>
      <c r="M184" s="57" t="str">
        <f t="shared" ca="1" si="25"/>
        <v/>
      </c>
      <c r="N184" s="57">
        <f t="shared" ca="1" si="26"/>
        <v>16474030</v>
      </c>
    </row>
    <row r="185" spans="1:14">
      <c r="A185" s="105">
        <v>188</v>
      </c>
      <c r="B185" s="105" t="str">
        <f ca="1">VLOOKUP( $A185, Aop!$A$2:$P$456, 2, 0)</f>
        <v>BUa</v>
      </c>
      <c r="C185" s="57">
        <f t="shared" ca="1" si="22"/>
        <v>2</v>
      </c>
      <c r="D185" s="57" t="str">
        <f t="shared" ca="1" si="19"/>
        <v>01111329</v>
      </c>
      <c r="E185" s="57" t="str">
        <f t="shared" ca="1" si="20"/>
        <v>4400692320002</v>
      </c>
      <c r="F185" s="57" t="b">
        <f t="shared" ca="1" si="23"/>
        <v>0</v>
      </c>
      <c r="G185" s="140">
        <f t="shared" ca="1" si="24"/>
        <v>44742</v>
      </c>
      <c r="H185" s="105">
        <f ca="1">VLOOKUP( $A185, Aop!$A$2:$P$456, 4, 0)</f>
        <v>250</v>
      </c>
      <c r="I185" s="57">
        <f t="shared" ca="1" si="21"/>
        <v>2022</v>
      </c>
      <c r="J185" s="57"/>
      <c r="K185" s="57"/>
      <c r="L185" s="57"/>
      <c r="M185" s="57" t="str">
        <f t="shared" ca="1" si="25"/>
        <v/>
      </c>
      <c r="N185" s="57">
        <f t="shared" ca="1" si="26"/>
        <v>0</v>
      </c>
    </row>
    <row r="186" spans="1:14">
      <c r="A186" s="105">
        <v>189</v>
      </c>
      <c r="B186" s="105" t="str">
        <f ca="1">VLOOKUP( $A186, Aop!$A$2:$P$456, 2, 0)</f>
        <v>BUa</v>
      </c>
      <c r="C186" s="57">
        <f t="shared" ca="1" si="22"/>
        <v>2</v>
      </c>
      <c r="D186" s="57" t="str">
        <f t="shared" ca="1" si="19"/>
        <v>01111329</v>
      </c>
      <c r="E186" s="57" t="str">
        <f t="shared" ca="1" si="20"/>
        <v>4400692320002</v>
      </c>
      <c r="F186" s="57" t="b">
        <f t="shared" ca="1" si="23"/>
        <v>0</v>
      </c>
      <c r="G186" s="140">
        <f t="shared" ca="1" si="24"/>
        <v>44742</v>
      </c>
      <c r="H186" s="105">
        <f ca="1">VLOOKUP( $A186, Aop!$A$2:$P$456, 4, 0)</f>
        <v>251</v>
      </c>
      <c r="I186" s="57">
        <f t="shared" ca="1" si="21"/>
        <v>2022</v>
      </c>
      <c r="J186" s="57"/>
      <c r="K186" s="57"/>
      <c r="L186" s="57"/>
      <c r="M186" s="57" t="str">
        <f t="shared" ca="1" si="25"/>
        <v/>
      </c>
      <c r="N186" s="57">
        <f t="shared" ca="1" si="26"/>
        <v>503</v>
      </c>
    </row>
    <row r="187" spans="1:14">
      <c r="A187" s="105">
        <v>190</v>
      </c>
      <c r="B187" s="105" t="str">
        <f ca="1">VLOOKUP( $A187, Aop!$A$2:$P$456, 2, 0)</f>
        <v>BUa</v>
      </c>
      <c r="C187" s="57">
        <f t="shared" ca="1" si="22"/>
        <v>2</v>
      </c>
      <c r="D187" s="57" t="str">
        <f t="shared" ca="1" si="19"/>
        <v>01111329</v>
      </c>
      <c r="E187" s="57" t="str">
        <f t="shared" ca="1" si="20"/>
        <v>4400692320002</v>
      </c>
      <c r="F187" s="57" t="b">
        <f t="shared" ca="1" si="23"/>
        <v>0</v>
      </c>
      <c r="G187" s="140">
        <f t="shared" ca="1" si="24"/>
        <v>44742</v>
      </c>
      <c r="H187" s="105">
        <f ca="1">VLOOKUP( $A187, Aop!$A$2:$P$456, 4, 0)</f>
        <v>252</v>
      </c>
      <c r="I187" s="57">
        <f t="shared" ca="1" si="21"/>
        <v>2022</v>
      </c>
      <c r="J187" s="57"/>
      <c r="K187" s="57"/>
      <c r="L187" s="57"/>
      <c r="M187" s="57" t="str">
        <f t="shared" ca="1" si="25"/>
        <v/>
      </c>
      <c r="N187" s="57" t="str">
        <f t="shared" ca="1" si="26"/>
        <v/>
      </c>
    </row>
    <row r="188" spans="1:14">
      <c r="A188" s="105">
        <v>191</v>
      </c>
      <c r="B188" s="105" t="str">
        <f ca="1">VLOOKUP( $A188, Aop!$A$2:$P$456, 2, 0)</f>
        <v>BUa</v>
      </c>
      <c r="C188" s="57">
        <f t="shared" ca="1" si="22"/>
        <v>2</v>
      </c>
      <c r="D188" s="57" t="str">
        <f t="shared" ca="1" si="19"/>
        <v>01111329</v>
      </c>
      <c r="E188" s="57" t="str">
        <f t="shared" ca="1" si="20"/>
        <v>4400692320002</v>
      </c>
      <c r="F188" s="57" t="b">
        <f t="shared" ca="1" si="23"/>
        <v>0</v>
      </c>
      <c r="G188" s="140">
        <f t="shared" ca="1" si="24"/>
        <v>44742</v>
      </c>
      <c r="H188" s="105">
        <f ca="1">VLOOKUP( $A188, Aop!$A$2:$P$456, 4, 0)</f>
        <v>253</v>
      </c>
      <c r="I188" s="57">
        <f t="shared" ca="1" si="21"/>
        <v>2022</v>
      </c>
      <c r="J188" s="57"/>
      <c r="K188" s="57"/>
      <c r="L188" s="57"/>
      <c r="M188" s="57" t="str">
        <f t="shared" ca="1" si="25"/>
        <v/>
      </c>
      <c r="N188" s="57" t="str">
        <f t="shared" ca="1" si="26"/>
        <v/>
      </c>
    </row>
    <row r="189" spans="1:14">
      <c r="A189" s="105">
        <v>192</v>
      </c>
      <c r="B189" s="105" t="str">
        <f ca="1">VLOOKUP( $A189, Aop!$A$2:$P$456, 2, 0)</f>
        <v>BUa</v>
      </c>
      <c r="C189" s="57">
        <f t="shared" ca="1" si="22"/>
        <v>2</v>
      </c>
      <c r="D189" s="57" t="str">
        <f t="shared" ca="1" si="19"/>
        <v>01111329</v>
      </c>
      <c r="E189" s="57" t="str">
        <f t="shared" ca="1" si="20"/>
        <v>4400692320002</v>
      </c>
      <c r="F189" s="57" t="b">
        <f t="shared" ca="1" si="23"/>
        <v>0</v>
      </c>
      <c r="G189" s="140">
        <f t="shared" ca="1" si="24"/>
        <v>44742</v>
      </c>
      <c r="H189" s="105">
        <f ca="1">VLOOKUP( $A189, Aop!$A$2:$P$456, 4, 0)</f>
        <v>254</v>
      </c>
      <c r="I189" s="57">
        <f t="shared" ca="1" si="21"/>
        <v>2022</v>
      </c>
      <c r="J189" s="57"/>
      <c r="K189" s="57"/>
      <c r="L189" s="57"/>
      <c r="M189" s="57" t="str">
        <f t="shared" ca="1" si="25"/>
        <v/>
      </c>
      <c r="N189" s="57" t="str">
        <f t="shared" ca="1" si="26"/>
        <v/>
      </c>
    </row>
    <row r="190" spans="1:14">
      <c r="A190" s="105">
        <v>193</v>
      </c>
      <c r="B190" s="105" t="str">
        <f ca="1">VLOOKUP( $A190, Aop!$A$2:$P$456, 2, 0)</f>
        <v>BUa</v>
      </c>
      <c r="C190" s="57">
        <f t="shared" ca="1" si="22"/>
        <v>2</v>
      </c>
      <c r="D190" s="57" t="str">
        <f t="shared" ref="D190:D251" ca="1" si="27">Podatak_MB</f>
        <v>01111329</v>
      </c>
      <c r="E190" s="57" t="str">
        <f t="shared" ref="E190:E251" ca="1" si="28">Podatak_JIB</f>
        <v>4400692320002</v>
      </c>
      <c r="F190" s="57" t="b">
        <f t="shared" ca="1" si="23"/>
        <v>0</v>
      </c>
      <c r="G190" s="140">
        <f t="shared" ca="1" si="24"/>
        <v>44742</v>
      </c>
      <c r="H190" s="105">
        <f ca="1">VLOOKUP( $A190, Aop!$A$2:$P$456, 4, 0)</f>
        <v>255</v>
      </c>
      <c r="I190" s="57">
        <f t="shared" ref="I190:I251" ca="1" si="29">Godina</f>
        <v>2022</v>
      </c>
      <c r="J190" s="57"/>
      <c r="K190" s="57"/>
      <c r="L190" s="57"/>
      <c r="M190" s="57" t="str">
        <f t="shared" ca="1" si="25"/>
        <v/>
      </c>
      <c r="N190" s="57" t="str">
        <f t="shared" ca="1" si="26"/>
        <v/>
      </c>
    </row>
    <row r="191" spans="1:14">
      <c r="A191" s="105">
        <v>194</v>
      </c>
      <c r="B191" s="105" t="str">
        <f ca="1">VLOOKUP( $A191, Aop!$A$2:$P$456, 2, 0)</f>
        <v>BUa</v>
      </c>
      <c r="C191" s="57">
        <f t="shared" ref="C191:C252" ca="1" si="30">ID_Izvjestaj</f>
        <v>2</v>
      </c>
      <c r="D191" s="57" t="str">
        <f t="shared" ca="1" si="27"/>
        <v>01111329</v>
      </c>
      <c r="E191" s="57" t="str">
        <f t="shared" ca="1" si="28"/>
        <v>4400692320002</v>
      </c>
      <c r="F191" s="57" t="b">
        <f t="shared" ref="F191:F252" ca="1" si="31">Konsolidovan_izvjestaj</f>
        <v>0</v>
      </c>
      <c r="G191" s="140">
        <f t="shared" ref="G191:G252" ca="1" si="32">Datum_Broj</f>
        <v>44742</v>
      </c>
      <c r="H191" s="105">
        <f ca="1">VLOOKUP( $A191, Aop!$A$2:$P$456, 4, 0)</f>
        <v>256</v>
      </c>
      <c r="I191" s="57">
        <f t="shared" ca="1" si="29"/>
        <v>2022</v>
      </c>
      <c r="J191" s="57"/>
      <c r="K191" s="57"/>
      <c r="L191" s="57"/>
      <c r="M191" s="57" t="str">
        <f t="shared" ca="1" si="25"/>
        <v/>
      </c>
      <c r="N191" s="57" t="str">
        <f t="shared" ca="1" si="26"/>
        <v/>
      </c>
    </row>
    <row r="192" spans="1:14">
      <c r="A192" s="105">
        <v>195</v>
      </c>
      <c r="B192" s="105" t="str">
        <f ca="1">VLOOKUP( $A192, Aop!$A$2:$P$456, 2, 0)</f>
        <v>BUa</v>
      </c>
      <c r="C192" s="57">
        <f t="shared" ca="1" si="30"/>
        <v>2</v>
      </c>
      <c r="D192" s="57" t="str">
        <f t="shared" ca="1" si="27"/>
        <v>01111329</v>
      </c>
      <c r="E192" s="57" t="str">
        <f t="shared" ca="1" si="28"/>
        <v>4400692320002</v>
      </c>
      <c r="F192" s="57" t="b">
        <f t="shared" ca="1" si="31"/>
        <v>0</v>
      </c>
      <c r="G192" s="140">
        <f t="shared" ca="1" si="32"/>
        <v>44742</v>
      </c>
      <c r="H192" s="105">
        <f ca="1">VLOOKUP( $A192, Aop!$A$2:$P$456, 4, 0)</f>
        <v>257</v>
      </c>
      <c r="I192" s="57">
        <f t="shared" ca="1" si="29"/>
        <v>2022</v>
      </c>
      <c r="J192" s="57"/>
      <c r="K192" s="57"/>
      <c r="L192" s="57"/>
      <c r="M192" s="57" t="str">
        <f t="shared" ca="1" si="25"/>
        <v/>
      </c>
      <c r="N192" s="57" t="str">
        <f t="shared" ca="1" si="26"/>
        <v/>
      </c>
    </row>
    <row r="193" spans="1:14">
      <c r="A193" s="105">
        <v>196</v>
      </c>
      <c r="B193" s="105" t="str">
        <f ca="1">VLOOKUP( $A193, Aop!$A$2:$P$456, 2, 0)</f>
        <v>BUa</v>
      </c>
      <c r="C193" s="57">
        <f t="shared" ca="1" si="30"/>
        <v>2</v>
      </c>
      <c r="D193" s="57" t="str">
        <f t="shared" ca="1" si="27"/>
        <v>01111329</v>
      </c>
      <c r="E193" s="57" t="str">
        <f t="shared" ca="1" si="28"/>
        <v>4400692320002</v>
      </c>
      <c r="F193" s="57" t="b">
        <f t="shared" ca="1" si="31"/>
        <v>0</v>
      </c>
      <c r="G193" s="140">
        <f t="shared" ca="1" si="32"/>
        <v>44742</v>
      </c>
      <c r="H193" s="105">
        <f ca="1">VLOOKUP( $A193, Aop!$A$2:$P$456, 4, 0)</f>
        <v>258</v>
      </c>
      <c r="I193" s="57">
        <f t="shared" ca="1" si="29"/>
        <v>2022</v>
      </c>
      <c r="J193" s="57"/>
      <c r="K193" s="57"/>
      <c r="L193" s="57"/>
      <c r="M193" s="57" t="str">
        <f t="shared" ca="1" si="25"/>
        <v/>
      </c>
      <c r="N193" s="57" t="str">
        <f t="shared" ca="1" si="26"/>
        <v/>
      </c>
    </row>
    <row r="194" spans="1:14">
      <c r="A194" s="105">
        <v>197</v>
      </c>
      <c r="B194" s="105" t="str">
        <f ca="1">VLOOKUP( $A194, Aop!$A$2:$P$456, 2, 0)</f>
        <v>BUa</v>
      </c>
      <c r="C194" s="57">
        <f t="shared" ca="1" si="30"/>
        <v>2</v>
      </c>
      <c r="D194" s="57" t="str">
        <f t="shared" ca="1" si="27"/>
        <v>01111329</v>
      </c>
      <c r="E194" s="57" t="str">
        <f t="shared" ca="1" si="28"/>
        <v>4400692320002</v>
      </c>
      <c r="F194" s="57" t="b">
        <f t="shared" ca="1" si="31"/>
        <v>0</v>
      </c>
      <c r="G194" s="140">
        <f t="shared" ca="1" si="32"/>
        <v>44742</v>
      </c>
      <c r="H194" s="105">
        <f ca="1">VLOOKUP( $A194, Aop!$A$2:$P$456, 4, 0)</f>
        <v>259</v>
      </c>
      <c r="I194" s="57">
        <f t="shared" ca="1" si="29"/>
        <v>2022</v>
      </c>
      <c r="J194" s="57"/>
      <c r="K194" s="57"/>
      <c r="L194" s="57"/>
      <c r="M194" s="57" t="str">
        <f t="shared" ca="1" si="25"/>
        <v/>
      </c>
      <c r="N194" s="57">
        <f t="shared" ca="1" si="26"/>
        <v>503</v>
      </c>
    </row>
    <row r="195" spans="1:14">
      <c r="A195" s="105">
        <v>198</v>
      </c>
      <c r="B195" s="57" t="str">
        <f ca="1">VLOOKUP( $A195, Aop!$A$2:$P$456, 2, 0)</f>
        <v>BUa</v>
      </c>
      <c r="C195" s="57">
        <f ca="1">ID_Izvjestaj</f>
        <v>2</v>
      </c>
      <c r="D195" s="57" t="str">
        <f ca="1">Podatak_MB</f>
        <v>01111329</v>
      </c>
      <c r="E195" s="57" t="str">
        <f ca="1">Podatak_JIB</f>
        <v>4400692320002</v>
      </c>
      <c r="F195" s="57" t="b">
        <f ca="1">Konsolidovan_izvjestaj</f>
        <v>0</v>
      </c>
      <c r="G195" s="140">
        <f ca="1">Datum_Broj</f>
        <v>44742</v>
      </c>
      <c r="H195" s="57">
        <f ca="1">VLOOKUP( $A195, Aop!$A$2:$P$456, 4, 0)</f>
        <v>260</v>
      </c>
      <c r="I195" s="57">
        <f ca="1">Godina</f>
        <v>2022</v>
      </c>
      <c r="J195" s="57"/>
      <c r="K195" s="57"/>
      <c r="L195" s="57"/>
      <c r="M195" s="57" t="str">
        <f t="shared" ref="M195:M258" ca="1" si="33">IF( VLOOKUP( $H195, INDIRECT( "Lookup_" &amp; $B195), IF( LEFT( $B195, 2) = "BS", S$2, S$1), 0) = "", "", VLOOKUP( $H195, INDIRECT( "Lookup_" &amp; $B195), IF( LEFT( $B195, 2) = "BS", S$2, S$1), 0))</f>
        <v/>
      </c>
      <c r="N195" s="57" t="str">
        <f t="shared" ref="N195:N258" ca="1" si="34">IF( VLOOKUP( $H195, INDIRECT( "Lookup_" &amp; $B195), IF( LEFT( $B195, 2) = "BS", T$2, T$1), 0) = "", "", VLOOKUP( $H195, INDIRECT( "Lookup_" &amp; $B195), IF( LEFT( $B195, 2) = "BS", T$2, T$1), 0))</f>
        <v/>
      </c>
    </row>
    <row r="196" spans="1:14">
      <c r="A196" s="105">
        <v>199</v>
      </c>
      <c r="B196" s="105" t="str">
        <f ca="1">VLOOKUP( $A196, Aop!$A$2:$P$456, 2, 0)</f>
        <v>BUa</v>
      </c>
      <c r="C196" s="57">
        <f t="shared" ca="1" si="30"/>
        <v>2</v>
      </c>
      <c r="D196" s="57" t="str">
        <f t="shared" ca="1" si="27"/>
        <v>01111329</v>
      </c>
      <c r="E196" s="57" t="str">
        <f t="shared" ca="1" si="28"/>
        <v>4400692320002</v>
      </c>
      <c r="F196" s="57" t="b">
        <f t="shared" ca="1" si="31"/>
        <v>0</v>
      </c>
      <c r="G196" s="140">
        <f t="shared" ca="1" si="32"/>
        <v>44742</v>
      </c>
      <c r="H196" s="105">
        <f ca="1">VLOOKUP( $A196, Aop!$A$2:$P$456, 4, 0)</f>
        <v>261</v>
      </c>
      <c r="I196" s="57">
        <f t="shared" ca="1" si="29"/>
        <v>2022</v>
      </c>
      <c r="J196" s="57"/>
      <c r="K196" s="57"/>
      <c r="L196" s="57"/>
      <c r="M196" s="57" t="str">
        <f t="shared" ca="1" si="33"/>
        <v/>
      </c>
      <c r="N196" s="57">
        <f t="shared" ca="1" si="34"/>
        <v>185069</v>
      </c>
    </row>
    <row r="197" spans="1:14">
      <c r="A197" s="105">
        <v>200</v>
      </c>
      <c r="B197" s="105" t="str">
        <f ca="1">VLOOKUP( $A197, Aop!$A$2:$P$456, 2, 0)</f>
        <v>BUa</v>
      </c>
      <c r="C197" s="57">
        <f t="shared" ca="1" si="30"/>
        <v>2</v>
      </c>
      <c r="D197" s="57" t="str">
        <f t="shared" ca="1" si="27"/>
        <v>01111329</v>
      </c>
      <c r="E197" s="57" t="str">
        <f t="shared" ca="1" si="28"/>
        <v>4400692320002</v>
      </c>
      <c r="F197" s="57" t="b">
        <f t="shared" ca="1" si="31"/>
        <v>0</v>
      </c>
      <c r="G197" s="140">
        <f t="shared" ca="1" si="32"/>
        <v>44742</v>
      </c>
      <c r="H197" s="105">
        <f ca="1">VLOOKUP( $A197, Aop!$A$2:$P$456, 4, 0)</f>
        <v>262</v>
      </c>
      <c r="I197" s="57">
        <f t="shared" ca="1" si="29"/>
        <v>2022</v>
      </c>
      <c r="J197" s="57"/>
      <c r="K197" s="57"/>
      <c r="L197" s="57"/>
      <c r="M197" s="57" t="str">
        <f t="shared" ca="1" si="33"/>
        <v/>
      </c>
      <c r="N197" s="57" t="str">
        <f t="shared" ca="1" si="34"/>
        <v/>
      </c>
    </row>
    <row r="198" spans="1:14">
      <c r="A198" s="105">
        <v>201</v>
      </c>
      <c r="B198" s="105" t="str">
        <f ca="1">VLOOKUP( $A198, Aop!$A$2:$P$456, 2, 0)</f>
        <v>BUa</v>
      </c>
      <c r="C198" s="57">
        <f t="shared" ca="1" si="30"/>
        <v>2</v>
      </c>
      <c r="D198" s="57" t="str">
        <f t="shared" ca="1" si="27"/>
        <v>01111329</v>
      </c>
      <c r="E198" s="57" t="str">
        <f t="shared" ca="1" si="28"/>
        <v>4400692320002</v>
      </c>
      <c r="F198" s="57" t="b">
        <f t="shared" ca="1" si="31"/>
        <v>0</v>
      </c>
      <c r="G198" s="140">
        <f t="shared" ca="1" si="32"/>
        <v>44742</v>
      </c>
      <c r="H198" s="105">
        <f ca="1">VLOOKUP( $A198, Aop!$A$2:$P$456, 4, 0)</f>
        <v>263</v>
      </c>
      <c r="I198" s="57">
        <f t="shared" ca="1" si="29"/>
        <v>2022</v>
      </c>
      <c r="J198" s="57"/>
      <c r="K198" s="57"/>
      <c r="L198" s="57"/>
      <c r="M198" s="57" t="str">
        <f t="shared" ca="1" si="33"/>
        <v/>
      </c>
      <c r="N198" s="57" t="str">
        <f t="shared" ca="1" si="34"/>
        <v/>
      </c>
    </row>
    <row r="199" spans="1:14">
      <c r="A199" s="105">
        <v>202</v>
      </c>
      <c r="B199" s="105" t="str">
        <f ca="1">VLOOKUP( $A199, Aop!$A$2:$P$456, 2, 0)</f>
        <v>BUa</v>
      </c>
      <c r="C199" s="57">
        <f t="shared" ca="1" si="30"/>
        <v>2</v>
      </c>
      <c r="D199" s="57" t="str">
        <f t="shared" ca="1" si="27"/>
        <v>01111329</v>
      </c>
      <c r="E199" s="57" t="str">
        <f t="shared" ca="1" si="28"/>
        <v>4400692320002</v>
      </c>
      <c r="F199" s="57" t="b">
        <f t="shared" ca="1" si="31"/>
        <v>0</v>
      </c>
      <c r="G199" s="140">
        <f t="shared" ca="1" si="32"/>
        <v>44742</v>
      </c>
      <c r="H199" s="105">
        <f ca="1">VLOOKUP( $A199, Aop!$A$2:$P$456, 4, 0)</f>
        <v>264</v>
      </c>
      <c r="I199" s="57">
        <f t="shared" ca="1" si="29"/>
        <v>2022</v>
      </c>
      <c r="J199" s="57"/>
      <c r="K199" s="57"/>
      <c r="L199" s="57"/>
      <c r="M199" s="57" t="str">
        <f t="shared" ca="1" si="33"/>
        <v/>
      </c>
      <c r="N199" s="57" t="str">
        <f t="shared" ca="1" si="34"/>
        <v/>
      </c>
    </row>
    <row r="200" spans="1:14">
      <c r="A200" s="105">
        <v>203</v>
      </c>
      <c r="B200" s="105" t="str">
        <f ca="1">VLOOKUP( $A200, Aop!$A$2:$P$456, 2, 0)</f>
        <v>BUa</v>
      </c>
      <c r="C200" s="57">
        <f t="shared" ca="1" si="30"/>
        <v>2</v>
      </c>
      <c r="D200" s="57" t="str">
        <f t="shared" ca="1" si="27"/>
        <v>01111329</v>
      </c>
      <c r="E200" s="57" t="str">
        <f t="shared" ca="1" si="28"/>
        <v>4400692320002</v>
      </c>
      <c r="F200" s="57" t="b">
        <f t="shared" ca="1" si="31"/>
        <v>0</v>
      </c>
      <c r="G200" s="140">
        <f t="shared" ca="1" si="32"/>
        <v>44742</v>
      </c>
      <c r="H200" s="105">
        <f ca="1">VLOOKUP( $A200, Aop!$A$2:$P$456, 4, 0)</f>
        <v>265</v>
      </c>
      <c r="I200" s="57">
        <f t="shared" ca="1" si="29"/>
        <v>2022</v>
      </c>
      <c r="J200" s="57"/>
      <c r="K200" s="57"/>
      <c r="L200" s="57"/>
      <c r="M200" s="57" t="str">
        <f t="shared" ca="1" si="33"/>
        <v/>
      </c>
      <c r="N200" s="57" t="str">
        <f t="shared" ca="1" si="34"/>
        <v/>
      </c>
    </row>
    <row r="201" spans="1:14">
      <c r="A201" s="105">
        <v>204</v>
      </c>
      <c r="B201" s="105" t="str">
        <f ca="1">VLOOKUP( $A201, Aop!$A$2:$P$456, 2, 0)</f>
        <v>BUa</v>
      </c>
      <c r="C201" s="57">
        <f t="shared" ca="1" si="30"/>
        <v>2</v>
      </c>
      <c r="D201" s="57" t="str">
        <f t="shared" ca="1" si="27"/>
        <v>01111329</v>
      </c>
      <c r="E201" s="57" t="str">
        <f t="shared" ca="1" si="28"/>
        <v>4400692320002</v>
      </c>
      <c r="F201" s="57" t="b">
        <f t="shared" ca="1" si="31"/>
        <v>0</v>
      </c>
      <c r="G201" s="140">
        <f t="shared" ca="1" si="32"/>
        <v>44742</v>
      </c>
      <c r="H201" s="105">
        <f ca="1">VLOOKUP( $A201, Aop!$A$2:$P$456, 4, 0)</f>
        <v>266</v>
      </c>
      <c r="I201" s="57">
        <f t="shared" ca="1" si="29"/>
        <v>2022</v>
      </c>
      <c r="J201" s="57"/>
      <c r="K201" s="57"/>
      <c r="L201" s="57"/>
      <c r="M201" s="57" t="str">
        <f t="shared" ca="1" si="33"/>
        <v/>
      </c>
      <c r="N201" s="57" t="str">
        <f t="shared" ca="1" si="34"/>
        <v/>
      </c>
    </row>
    <row r="202" spans="1:14">
      <c r="A202" s="105">
        <v>205</v>
      </c>
      <c r="B202" s="105" t="str">
        <f ca="1">VLOOKUP( $A202, Aop!$A$2:$P$456, 2, 0)</f>
        <v>BUa</v>
      </c>
      <c r="C202" s="57">
        <f t="shared" ca="1" si="30"/>
        <v>2</v>
      </c>
      <c r="D202" s="57" t="str">
        <f t="shared" ca="1" si="27"/>
        <v>01111329</v>
      </c>
      <c r="E202" s="57" t="str">
        <f t="shared" ca="1" si="28"/>
        <v>4400692320002</v>
      </c>
      <c r="F202" s="57" t="b">
        <f t="shared" ca="1" si="31"/>
        <v>0</v>
      </c>
      <c r="G202" s="140">
        <f t="shared" ca="1" si="32"/>
        <v>44742</v>
      </c>
      <c r="H202" s="105">
        <f ca="1">VLOOKUP( $A202, Aop!$A$2:$P$456, 4, 0)</f>
        <v>267</v>
      </c>
      <c r="I202" s="57">
        <f t="shared" ca="1" si="29"/>
        <v>2022</v>
      </c>
      <c r="J202" s="57"/>
      <c r="K202" s="57"/>
      <c r="L202" s="57"/>
      <c r="M202" s="57" t="str">
        <f t="shared" ca="1" si="33"/>
        <v/>
      </c>
      <c r="N202" s="57" t="str">
        <f t="shared" ca="1" si="34"/>
        <v/>
      </c>
    </row>
    <row r="203" spans="1:14">
      <c r="A203" s="105">
        <v>206</v>
      </c>
      <c r="B203" s="105" t="str">
        <f ca="1">VLOOKUP( $A203, Aop!$A$2:$P$456, 2, 0)</f>
        <v>BUa</v>
      </c>
      <c r="C203" s="57">
        <f t="shared" ca="1" si="30"/>
        <v>2</v>
      </c>
      <c r="D203" s="57" t="str">
        <f t="shared" ca="1" si="27"/>
        <v>01111329</v>
      </c>
      <c r="E203" s="57" t="str">
        <f t="shared" ca="1" si="28"/>
        <v>4400692320002</v>
      </c>
      <c r="F203" s="57" t="b">
        <f t="shared" ca="1" si="31"/>
        <v>0</v>
      </c>
      <c r="G203" s="140">
        <f t="shared" ca="1" si="32"/>
        <v>44742</v>
      </c>
      <c r="H203" s="105">
        <f ca="1">VLOOKUP( $A203, Aop!$A$2:$P$456, 4, 0)</f>
        <v>268</v>
      </c>
      <c r="I203" s="57">
        <f t="shared" ca="1" si="29"/>
        <v>2022</v>
      </c>
      <c r="J203" s="57"/>
      <c r="K203" s="57"/>
      <c r="L203" s="57"/>
      <c r="M203" s="57" t="str">
        <f t="shared" ca="1" si="33"/>
        <v/>
      </c>
      <c r="N203" s="57" t="str">
        <f t="shared" ca="1" si="34"/>
        <v/>
      </c>
    </row>
    <row r="204" spans="1:14">
      <c r="A204" s="105">
        <v>208</v>
      </c>
      <c r="B204" s="105" t="str">
        <f ca="1">VLOOKUP( $A204, Aop!$A$2:$P$456, 2, 0)</f>
        <v>BUa</v>
      </c>
      <c r="C204" s="57">
        <f t="shared" ca="1" si="30"/>
        <v>2</v>
      </c>
      <c r="D204" s="57" t="str">
        <f t="shared" ca="1" si="27"/>
        <v>01111329</v>
      </c>
      <c r="E204" s="57" t="str">
        <f t="shared" ca="1" si="28"/>
        <v>4400692320002</v>
      </c>
      <c r="F204" s="57" t="b">
        <f t="shared" ca="1" si="31"/>
        <v>0</v>
      </c>
      <c r="G204" s="140">
        <f t="shared" ca="1" si="32"/>
        <v>44742</v>
      </c>
      <c r="H204" s="105">
        <f ca="1">VLOOKUP( $A204, Aop!$A$2:$P$456, 4, 0)</f>
        <v>270</v>
      </c>
      <c r="I204" s="57">
        <f t="shared" ca="1" si="29"/>
        <v>2022</v>
      </c>
      <c r="J204" s="57"/>
      <c r="K204" s="57"/>
      <c r="L204" s="57"/>
      <c r="M204" s="57" t="str">
        <f t="shared" ca="1" si="33"/>
        <v/>
      </c>
      <c r="N204" s="57">
        <f t="shared" ca="1" si="34"/>
        <v>185069</v>
      </c>
    </row>
    <row r="205" spans="1:14">
      <c r="A205" s="105">
        <v>209</v>
      </c>
      <c r="B205" s="105" t="str">
        <f ca="1">VLOOKUP( $A205, Aop!$A$2:$P$456, 2, 0)</f>
        <v>BUa</v>
      </c>
      <c r="C205" s="57">
        <f t="shared" ca="1" si="30"/>
        <v>2</v>
      </c>
      <c r="D205" s="57" t="str">
        <f t="shared" ca="1" si="27"/>
        <v>01111329</v>
      </c>
      <c r="E205" s="57" t="str">
        <f t="shared" ca="1" si="28"/>
        <v>4400692320002</v>
      </c>
      <c r="F205" s="57" t="b">
        <f t="shared" ca="1" si="31"/>
        <v>0</v>
      </c>
      <c r="G205" s="140">
        <f t="shared" ca="1" si="32"/>
        <v>44742</v>
      </c>
      <c r="H205" s="105">
        <f ca="1">VLOOKUP( $A205, Aop!$A$2:$P$456, 4, 0)</f>
        <v>271</v>
      </c>
      <c r="I205" s="57">
        <f t="shared" ca="1" si="29"/>
        <v>2022</v>
      </c>
      <c r="J205" s="57"/>
      <c r="K205" s="57"/>
      <c r="L205" s="57"/>
      <c r="M205" s="57" t="str">
        <f t="shared" ca="1" si="33"/>
        <v/>
      </c>
      <c r="N205" s="57">
        <f t="shared" ca="1" si="34"/>
        <v>0</v>
      </c>
    </row>
    <row r="206" spans="1:14">
      <c r="A206" s="105">
        <v>210</v>
      </c>
      <c r="B206" s="105" t="str">
        <f ca="1">VLOOKUP( $A206, Aop!$A$2:$P$456, 2, 0)</f>
        <v>BUa</v>
      </c>
      <c r="C206" s="57">
        <f t="shared" ca="1" si="30"/>
        <v>2</v>
      </c>
      <c r="D206" s="57" t="str">
        <f t="shared" ca="1" si="27"/>
        <v>01111329</v>
      </c>
      <c r="E206" s="57" t="str">
        <f t="shared" ca="1" si="28"/>
        <v>4400692320002</v>
      </c>
      <c r="F206" s="57" t="b">
        <f t="shared" ca="1" si="31"/>
        <v>0</v>
      </c>
      <c r="G206" s="140">
        <f t="shared" ca="1" si="32"/>
        <v>44742</v>
      </c>
      <c r="H206" s="105">
        <f ca="1">VLOOKUP( $A206, Aop!$A$2:$P$456, 4, 0)</f>
        <v>272</v>
      </c>
      <c r="I206" s="57">
        <f t="shared" ca="1" si="29"/>
        <v>2022</v>
      </c>
      <c r="J206" s="57"/>
      <c r="K206" s="57"/>
      <c r="L206" s="57"/>
      <c r="M206" s="57" t="str">
        <f t="shared" ca="1" si="33"/>
        <v/>
      </c>
      <c r="N206" s="57">
        <f t="shared" ca="1" si="34"/>
        <v>184566</v>
      </c>
    </row>
    <row r="207" spans="1:14">
      <c r="A207" s="105">
        <v>211</v>
      </c>
      <c r="B207" s="105" t="str">
        <f ca="1">VLOOKUP( $A207, Aop!$A$2:$P$456, 2, 0)</f>
        <v>BUa</v>
      </c>
      <c r="C207" s="57">
        <f t="shared" ca="1" si="30"/>
        <v>2</v>
      </c>
      <c r="D207" s="57" t="str">
        <f t="shared" ca="1" si="27"/>
        <v>01111329</v>
      </c>
      <c r="E207" s="57" t="str">
        <f t="shared" ca="1" si="28"/>
        <v>4400692320002</v>
      </c>
      <c r="F207" s="57" t="b">
        <f t="shared" ca="1" si="31"/>
        <v>0</v>
      </c>
      <c r="G207" s="140">
        <f t="shared" ca="1" si="32"/>
        <v>44742</v>
      </c>
      <c r="H207" s="105">
        <f ca="1">VLOOKUP( $A207, Aop!$A$2:$P$456, 4, 0)</f>
        <v>273</v>
      </c>
      <c r="I207" s="57">
        <f t="shared" ca="1" si="29"/>
        <v>2022</v>
      </c>
      <c r="J207" s="57"/>
      <c r="K207" s="57"/>
      <c r="L207" s="57"/>
      <c r="M207" s="57" t="str">
        <f t="shared" ca="1" si="33"/>
        <v/>
      </c>
      <c r="N207" s="57">
        <f t="shared" ca="1" si="34"/>
        <v>11450</v>
      </c>
    </row>
    <row r="208" spans="1:14">
      <c r="A208" s="105">
        <v>212</v>
      </c>
      <c r="B208" s="105" t="str">
        <f ca="1">VLOOKUP( $A208, Aop!$A$2:$P$456, 2, 0)</f>
        <v>BUa</v>
      </c>
      <c r="C208" s="57">
        <f t="shared" ca="1" si="30"/>
        <v>2</v>
      </c>
      <c r="D208" s="57" t="str">
        <f t="shared" ca="1" si="27"/>
        <v>01111329</v>
      </c>
      <c r="E208" s="57" t="str">
        <f t="shared" ca="1" si="28"/>
        <v>4400692320002</v>
      </c>
      <c r="F208" s="57" t="b">
        <f t="shared" ca="1" si="31"/>
        <v>0</v>
      </c>
      <c r="G208" s="140">
        <f t="shared" ca="1" si="32"/>
        <v>44742</v>
      </c>
      <c r="H208" s="105">
        <f ca="1">VLOOKUP( $A208, Aop!$A$2:$P$456, 4, 0)</f>
        <v>274</v>
      </c>
      <c r="I208" s="57">
        <f t="shared" ca="1" si="29"/>
        <v>2022</v>
      </c>
      <c r="J208" s="57"/>
      <c r="K208" s="57"/>
      <c r="L208" s="57"/>
      <c r="M208" s="57" t="str">
        <f t="shared" ca="1" si="33"/>
        <v/>
      </c>
      <c r="N208" s="57">
        <f t="shared" ca="1" si="34"/>
        <v>11450</v>
      </c>
    </row>
    <row r="209" spans="1:14">
      <c r="A209" s="105">
        <v>213</v>
      </c>
      <c r="B209" s="105" t="str">
        <f ca="1">VLOOKUP( $A209, Aop!$A$2:$P$456, 2, 0)</f>
        <v>BUa</v>
      </c>
      <c r="C209" s="57">
        <f t="shared" ca="1" si="30"/>
        <v>2</v>
      </c>
      <c r="D209" s="57" t="str">
        <f t="shared" ca="1" si="27"/>
        <v>01111329</v>
      </c>
      <c r="E209" s="57" t="str">
        <f t="shared" ca="1" si="28"/>
        <v>4400692320002</v>
      </c>
      <c r="F209" s="57" t="b">
        <f t="shared" ca="1" si="31"/>
        <v>0</v>
      </c>
      <c r="G209" s="140">
        <f t="shared" ca="1" si="32"/>
        <v>44742</v>
      </c>
      <c r="H209" s="105">
        <f ca="1">VLOOKUP( $A209, Aop!$A$2:$P$456, 4, 0)</f>
        <v>275</v>
      </c>
      <c r="I209" s="57">
        <f t="shared" ca="1" si="29"/>
        <v>2022</v>
      </c>
      <c r="J209" s="57"/>
      <c r="K209" s="57"/>
      <c r="L209" s="57"/>
      <c r="M209" s="57" t="str">
        <f t="shared" ca="1" si="33"/>
        <v/>
      </c>
      <c r="N209" s="57" t="str">
        <f t="shared" ca="1" si="34"/>
        <v/>
      </c>
    </row>
    <row r="210" spans="1:14">
      <c r="A210" s="105">
        <v>214</v>
      </c>
      <c r="B210" s="105" t="str">
        <f ca="1">VLOOKUP( $A210, Aop!$A$2:$P$456, 2, 0)</f>
        <v>BUa</v>
      </c>
      <c r="C210" s="57">
        <f t="shared" ca="1" si="30"/>
        <v>2</v>
      </c>
      <c r="D210" s="57" t="str">
        <f t="shared" ca="1" si="27"/>
        <v>01111329</v>
      </c>
      <c r="E210" s="57" t="str">
        <f t="shared" ca="1" si="28"/>
        <v>4400692320002</v>
      </c>
      <c r="F210" s="57" t="b">
        <f t="shared" ca="1" si="31"/>
        <v>0</v>
      </c>
      <c r="G210" s="140">
        <f t="shared" ca="1" si="32"/>
        <v>44742</v>
      </c>
      <c r="H210" s="105">
        <f ca="1">VLOOKUP( $A210, Aop!$A$2:$P$456, 4, 0)</f>
        <v>276</v>
      </c>
      <c r="I210" s="57">
        <f t="shared" ca="1" si="29"/>
        <v>2022</v>
      </c>
      <c r="J210" s="57"/>
      <c r="K210" s="57"/>
      <c r="L210" s="57"/>
      <c r="M210" s="57" t="str">
        <f t="shared" ca="1" si="33"/>
        <v/>
      </c>
      <c r="N210" s="57">
        <f t="shared" ca="1" si="34"/>
        <v>11450</v>
      </c>
    </row>
    <row r="211" spans="1:14">
      <c r="A211" s="105">
        <v>215</v>
      </c>
      <c r="B211" s="105" t="str">
        <f ca="1">VLOOKUP( $A211, Aop!$A$2:$P$456, 2, 0)</f>
        <v>BUa</v>
      </c>
      <c r="C211" s="57">
        <f t="shared" ca="1" si="30"/>
        <v>2</v>
      </c>
      <c r="D211" s="57" t="str">
        <f t="shared" ca="1" si="27"/>
        <v>01111329</v>
      </c>
      <c r="E211" s="57" t="str">
        <f t="shared" ca="1" si="28"/>
        <v>4400692320002</v>
      </c>
      <c r="F211" s="57" t="b">
        <f t="shared" ca="1" si="31"/>
        <v>0</v>
      </c>
      <c r="G211" s="140">
        <f t="shared" ca="1" si="32"/>
        <v>44742</v>
      </c>
      <c r="H211" s="105">
        <f ca="1">VLOOKUP( $A211, Aop!$A$2:$P$456, 4, 0)</f>
        <v>277</v>
      </c>
      <c r="I211" s="57">
        <f t="shared" ca="1" si="29"/>
        <v>2022</v>
      </c>
      <c r="J211" s="57"/>
      <c r="K211" s="57"/>
      <c r="L211" s="57"/>
      <c r="M211" s="57" t="str">
        <f t="shared" ca="1" si="33"/>
        <v/>
      </c>
      <c r="N211" s="57" t="str">
        <f t="shared" ca="1" si="34"/>
        <v/>
      </c>
    </row>
    <row r="212" spans="1:14">
      <c r="A212" s="105">
        <v>216</v>
      </c>
      <c r="B212" s="105" t="str">
        <f ca="1">VLOOKUP( $A212, Aop!$A$2:$P$456, 2, 0)</f>
        <v>BUa</v>
      </c>
      <c r="C212" s="57">
        <f t="shared" ca="1" si="30"/>
        <v>2</v>
      </c>
      <c r="D212" s="57" t="str">
        <f t="shared" ca="1" si="27"/>
        <v>01111329</v>
      </c>
      <c r="E212" s="57" t="str">
        <f t="shared" ca="1" si="28"/>
        <v>4400692320002</v>
      </c>
      <c r="F212" s="57" t="b">
        <f t="shared" ca="1" si="31"/>
        <v>0</v>
      </c>
      <c r="G212" s="140">
        <f t="shared" ca="1" si="32"/>
        <v>44742</v>
      </c>
      <c r="H212" s="105">
        <f ca="1">VLOOKUP( $A212, Aop!$A$2:$P$456, 4, 0)</f>
        <v>278</v>
      </c>
      <c r="I212" s="57">
        <f t="shared" ca="1" si="29"/>
        <v>2022</v>
      </c>
      <c r="J212" s="57"/>
      <c r="K212" s="57"/>
      <c r="L212" s="57"/>
      <c r="M212" s="57" t="str">
        <f t="shared" ca="1" si="33"/>
        <v/>
      </c>
      <c r="N212" s="57" t="str">
        <f t="shared" ca="1" si="34"/>
        <v/>
      </c>
    </row>
    <row r="213" spans="1:14">
      <c r="A213" s="105">
        <v>217</v>
      </c>
      <c r="B213" s="105" t="str">
        <f ca="1">VLOOKUP( $A213, Aop!$A$2:$P$456, 2, 0)</f>
        <v>BUa</v>
      </c>
      <c r="C213" s="57">
        <f t="shared" ca="1" si="30"/>
        <v>2</v>
      </c>
      <c r="D213" s="57" t="str">
        <f t="shared" ca="1" si="27"/>
        <v>01111329</v>
      </c>
      <c r="E213" s="57" t="str">
        <f t="shared" ca="1" si="28"/>
        <v>4400692320002</v>
      </c>
      <c r="F213" s="57" t="b">
        <f t="shared" ca="1" si="31"/>
        <v>0</v>
      </c>
      <c r="G213" s="140">
        <f t="shared" ca="1" si="32"/>
        <v>44742</v>
      </c>
      <c r="H213" s="105">
        <f ca="1">VLOOKUP( $A213, Aop!$A$2:$P$456, 4, 0)</f>
        <v>279</v>
      </c>
      <c r="I213" s="57">
        <f t="shared" ca="1" si="29"/>
        <v>2022</v>
      </c>
      <c r="J213" s="57"/>
      <c r="K213" s="57"/>
      <c r="L213" s="57"/>
      <c r="M213" s="57" t="str">
        <f t="shared" ca="1" si="33"/>
        <v/>
      </c>
      <c r="N213" s="57" t="str">
        <f t="shared" ca="1" si="34"/>
        <v/>
      </c>
    </row>
    <row r="214" spans="1:14">
      <c r="A214" s="105">
        <v>218</v>
      </c>
      <c r="B214" s="105" t="str">
        <f ca="1">VLOOKUP( $A214, Aop!$A$2:$P$456, 2, 0)</f>
        <v>BUa</v>
      </c>
      <c r="C214" s="57">
        <f t="shared" ca="1" si="30"/>
        <v>2</v>
      </c>
      <c r="D214" s="57" t="str">
        <f t="shared" ca="1" si="27"/>
        <v>01111329</v>
      </c>
      <c r="E214" s="57" t="str">
        <f t="shared" ca="1" si="28"/>
        <v>4400692320002</v>
      </c>
      <c r="F214" s="57" t="b">
        <f t="shared" ca="1" si="31"/>
        <v>0</v>
      </c>
      <c r="G214" s="140">
        <f t="shared" ca="1" si="32"/>
        <v>44742</v>
      </c>
      <c r="H214" s="105">
        <f ca="1">VLOOKUP( $A214, Aop!$A$2:$P$456, 4, 0)</f>
        <v>280</v>
      </c>
      <c r="I214" s="57">
        <f t="shared" ca="1" si="29"/>
        <v>2022</v>
      </c>
      <c r="J214" s="57"/>
      <c r="K214" s="57"/>
      <c r="L214" s="57"/>
      <c r="M214" s="57" t="str">
        <f t="shared" ca="1" si="33"/>
        <v/>
      </c>
      <c r="N214" s="57" t="str">
        <f t="shared" ca="1" si="34"/>
        <v/>
      </c>
    </row>
    <row r="215" spans="1:14">
      <c r="A215" s="105">
        <v>219</v>
      </c>
      <c r="B215" s="105" t="str">
        <f ca="1">VLOOKUP( $A215, Aop!$A$2:$P$456, 2, 0)</f>
        <v>BUa</v>
      </c>
      <c r="C215" s="57">
        <f t="shared" ca="1" si="30"/>
        <v>2</v>
      </c>
      <c r="D215" s="57" t="str">
        <f t="shared" ca="1" si="27"/>
        <v>01111329</v>
      </c>
      <c r="E215" s="57" t="str">
        <f t="shared" ca="1" si="28"/>
        <v>4400692320002</v>
      </c>
      <c r="F215" s="57" t="b">
        <f t="shared" ca="1" si="31"/>
        <v>0</v>
      </c>
      <c r="G215" s="140">
        <f t="shared" ca="1" si="32"/>
        <v>44742</v>
      </c>
      <c r="H215" s="105">
        <f ca="1">VLOOKUP( $A215, Aop!$A$2:$P$456, 4, 0)</f>
        <v>281</v>
      </c>
      <c r="I215" s="57">
        <f t="shared" ca="1" si="29"/>
        <v>2022</v>
      </c>
      <c r="J215" s="57"/>
      <c r="K215" s="57"/>
      <c r="L215" s="57"/>
      <c r="M215" s="57" t="str">
        <f t="shared" ca="1" si="33"/>
        <v/>
      </c>
      <c r="N215" s="57">
        <f t="shared" ca="1" si="34"/>
        <v>0</v>
      </c>
    </row>
    <row r="216" spans="1:14">
      <c r="A216" s="105">
        <v>220</v>
      </c>
      <c r="B216" s="105" t="str">
        <f ca="1">VLOOKUP( $A216, Aop!$A$2:$P$456, 2, 0)</f>
        <v>BUa</v>
      </c>
      <c r="C216" s="57">
        <f t="shared" ca="1" si="30"/>
        <v>2</v>
      </c>
      <c r="D216" s="57" t="str">
        <f t="shared" ca="1" si="27"/>
        <v>01111329</v>
      </c>
      <c r="E216" s="57" t="str">
        <f t="shared" ca="1" si="28"/>
        <v>4400692320002</v>
      </c>
      <c r="F216" s="57" t="b">
        <f t="shared" ca="1" si="31"/>
        <v>0</v>
      </c>
      <c r="G216" s="140">
        <f t="shared" ca="1" si="32"/>
        <v>44742</v>
      </c>
      <c r="H216" s="105">
        <f ca="1">VLOOKUP( $A216, Aop!$A$2:$P$456, 4, 0)</f>
        <v>282</v>
      </c>
      <c r="I216" s="57">
        <f t="shared" ca="1" si="29"/>
        <v>2022</v>
      </c>
      <c r="J216" s="57"/>
      <c r="K216" s="57"/>
      <c r="L216" s="57"/>
      <c r="M216" s="57" t="str">
        <f t="shared" ca="1" si="33"/>
        <v/>
      </c>
      <c r="N216" s="57" t="str">
        <f t="shared" ca="1" si="34"/>
        <v/>
      </c>
    </row>
    <row r="217" spans="1:14">
      <c r="A217" s="105">
        <v>221</v>
      </c>
      <c r="B217" s="57" t="str">
        <f ca="1">VLOOKUP( $A217, Aop!$A$2:$P$456, 2, 0)</f>
        <v>BUa</v>
      </c>
      <c r="C217" s="57">
        <f ca="1">ID_Izvjestaj</f>
        <v>2</v>
      </c>
      <c r="D217" s="57" t="str">
        <f ca="1">Podatak_MB</f>
        <v>01111329</v>
      </c>
      <c r="E217" s="57" t="str">
        <f ca="1">Podatak_JIB</f>
        <v>4400692320002</v>
      </c>
      <c r="F217" s="57" t="b">
        <f ca="1">Konsolidovan_izvjestaj</f>
        <v>0</v>
      </c>
      <c r="G217" s="140">
        <f ca="1">Datum_Broj</f>
        <v>44742</v>
      </c>
      <c r="H217" s="57">
        <f ca="1">VLOOKUP( $A217, Aop!$A$2:$P$456, 4, 0)</f>
        <v>283</v>
      </c>
      <c r="I217" s="57">
        <f ca="1">Godina</f>
        <v>2022</v>
      </c>
      <c r="J217" s="57"/>
      <c r="K217" s="57"/>
      <c r="L217" s="57"/>
      <c r="M217" s="57" t="str">
        <f t="shared" ca="1" si="33"/>
        <v/>
      </c>
      <c r="N217" s="57" t="str">
        <f t="shared" ca="1" si="34"/>
        <v/>
      </c>
    </row>
    <row r="218" spans="1:14">
      <c r="A218" s="105">
        <v>222</v>
      </c>
      <c r="B218" s="105" t="str">
        <f ca="1">VLOOKUP( $A218, Aop!$A$2:$P$456, 2, 0)</f>
        <v>BUa</v>
      </c>
      <c r="C218" s="57">
        <f t="shared" ca="1" si="30"/>
        <v>2</v>
      </c>
      <c r="D218" s="57" t="str">
        <f t="shared" ca="1" si="27"/>
        <v>01111329</v>
      </c>
      <c r="E218" s="57" t="str">
        <f t="shared" ca="1" si="28"/>
        <v>4400692320002</v>
      </c>
      <c r="F218" s="57" t="b">
        <f t="shared" ca="1" si="31"/>
        <v>0</v>
      </c>
      <c r="G218" s="140">
        <f t="shared" ca="1" si="32"/>
        <v>44742</v>
      </c>
      <c r="H218" s="105">
        <f ca="1">VLOOKUP( $A218, Aop!$A$2:$P$456, 4, 0)</f>
        <v>284</v>
      </c>
      <c r="I218" s="57">
        <f t="shared" ca="1" si="29"/>
        <v>2022</v>
      </c>
      <c r="J218" s="57"/>
      <c r="K218" s="57"/>
      <c r="L218" s="57"/>
      <c r="M218" s="57" t="str">
        <f t="shared" ca="1" si="33"/>
        <v/>
      </c>
      <c r="N218" s="57" t="str">
        <f t="shared" ca="1" si="34"/>
        <v/>
      </c>
    </row>
    <row r="219" spans="1:14">
      <c r="A219" s="105">
        <v>223</v>
      </c>
      <c r="B219" s="105" t="str">
        <f ca="1">VLOOKUP( $A219, Aop!$A$2:$P$456, 2, 0)</f>
        <v>BUa</v>
      </c>
      <c r="C219" s="57">
        <f t="shared" ca="1" si="30"/>
        <v>2</v>
      </c>
      <c r="D219" s="57" t="str">
        <f t="shared" ca="1" si="27"/>
        <v>01111329</v>
      </c>
      <c r="E219" s="57" t="str">
        <f t="shared" ca="1" si="28"/>
        <v>4400692320002</v>
      </c>
      <c r="F219" s="57" t="b">
        <f t="shared" ca="1" si="31"/>
        <v>0</v>
      </c>
      <c r="G219" s="140">
        <f t="shared" ca="1" si="32"/>
        <v>44742</v>
      </c>
      <c r="H219" s="105">
        <f ca="1">VLOOKUP( $A219, Aop!$A$2:$P$456, 4, 0)</f>
        <v>285</v>
      </c>
      <c r="I219" s="57">
        <f t="shared" ca="1" si="29"/>
        <v>2022</v>
      </c>
      <c r="J219" s="57"/>
      <c r="K219" s="57"/>
      <c r="L219" s="57"/>
      <c r="M219" s="57" t="str">
        <f t="shared" ca="1" si="33"/>
        <v/>
      </c>
      <c r="N219" s="57" t="str">
        <f t="shared" ca="1" si="34"/>
        <v/>
      </c>
    </row>
    <row r="220" spans="1:14">
      <c r="A220" s="105">
        <v>224</v>
      </c>
      <c r="B220" s="57" t="str">
        <f ca="1">VLOOKUP( $A220, Aop!$A$2:$P$456, 2, 0)</f>
        <v>BUa</v>
      </c>
      <c r="C220" s="57">
        <f ca="1">ID_Izvjestaj</f>
        <v>2</v>
      </c>
      <c r="D220" s="57" t="str">
        <f ca="1">Podatak_MB</f>
        <v>01111329</v>
      </c>
      <c r="E220" s="57" t="str">
        <f ca="1">Podatak_JIB</f>
        <v>4400692320002</v>
      </c>
      <c r="F220" s="57" t="b">
        <f ca="1">Konsolidovan_izvjestaj</f>
        <v>0</v>
      </c>
      <c r="G220" s="140">
        <f ca="1">Datum_Broj</f>
        <v>44742</v>
      </c>
      <c r="H220" s="57">
        <f ca="1">VLOOKUP( $A220, Aop!$A$2:$P$456, 4, 0)</f>
        <v>286</v>
      </c>
      <c r="I220" s="57">
        <f ca="1">Godina</f>
        <v>2022</v>
      </c>
      <c r="J220" s="57"/>
      <c r="K220" s="57"/>
      <c r="L220" s="57"/>
      <c r="M220" s="57" t="str">
        <f t="shared" ca="1" si="33"/>
        <v/>
      </c>
      <c r="N220" s="57">
        <f t="shared" ca="1" si="34"/>
        <v>0</v>
      </c>
    </row>
    <row r="221" spans="1:14">
      <c r="A221" s="105">
        <v>225</v>
      </c>
      <c r="B221" s="105" t="str">
        <f ca="1">VLOOKUP( $A221, Aop!$A$2:$P$456, 2, 0)</f>
        <v>BUa</v>
      </c>
      <c r="C221" s="57">
        <f t="shared" ca="1" si="30"/>
        <v>2</v>
      </c>
      <c r="D221" s="57" t="str">
        <f t="shared" ca="1" si="27"/>
        <v>01111329</v>
      </c>
      <c r="E221" s="57" t="str">
        <f t="shared" ca="1" si="28"/>
        <v>4400692320002</v>
      </c>
      <c r="F221" s="57" t="b">
        <f t="shared" ca="1" si="31"/>
        <v>0</v>
      </c>
      <c r="G221" s="140">
        <f t="shared" ca="1" si="32"/>
        <v>44742</v>
      </c>
      <c r="H221" s="105">
        <f ca="1">VLOOKUP( $A221, Aop!$A$2:$P$456, 4, 0)</f>
        <v>287</v>
      </c>
      <c r="I221" s="57">
        <f t="shared" ca="1" si="29"/>
        <v>2022</v>
      </c>
      <c r="J221" s="57"/>
      <c r="K221" s="57"/>
      <c r="L221" s="57"/>
      <c r="M221" s="57" t="str">
        <f t="shared" ca="1" si="33"/>
        <v/>
      </c>
      <c r="N221" s="57">
        <f t="shared" ca="1" si="34"/>
        <v>0</v>
      </c>
    </row>
    <row r="222" spans="1:14">
      <c r="A222" s="105">
        <v>226</v>
      </c>
      <c r="B222" s="105" t="str">
        <f ca="1">VLOOKUP( $A222, Aop!$A$2:$P$456, 2, 0)</f>
        <v>BUa</v>
      </c>
      <c r="C222" s="57">
        <f t="shared" ca="1" si="30"/>
        <v>2</v>
      </c>
      <c r="D222" s="57" t="str">
        <f t="shared" ca="1" si="27"/>
        <v>01111329</v>
      </c>
      <c r="E222" s="57" t="str">
        <f t="shared" ca="1" si="28"/>
        <v>4400692320002</v>
      </c>
      <c r="F222" s="57" t="b">
        <f t="shared" ca="1" si="31"/>
        <v>0</v>
      </c>
      <c r="G222" s="140">
        <f t="shared" ca="1" si="32"/>
        <v>44742</v>
      </c>
      <c r="H222" s="105">
        <f ca="1">VLOOKUP( $A222, Aop!$A$2:$P$456, 4, 0)</f>
        <v>288</v>
      </c>
      <c r="I222" s="57">
        <f t="shared" ca="1" si="29"/>
        <v>2022</v>
      </c>
      <c r="J222" s="57"/>
      <c r="K222" s="57"/>
      <c r="L222" s="57"/>
      <c r="M222" s="57" t="str">
        <f t="shared" ca="1" si="33"/>
        <v/>
      </c>
      <c r="N222" s="57" t="str">
        <f t="shared" ca="1" si="34"/>
        <v/>
      </c>
    </row>
    <row r="223" spans="1:14">
      <c r="A223" s="105">
        <v>227</v>
      </c>
      <c r="B223" s="57" t="str">
        <f ca="1">VLOOKUP( $A223, Aop!$A$2:$P$456, 2, 0)</f>
        <v>BUa</v>
      </c>
      <c r="C223" s="57">
        <f ca="1">ID_Izvjestaj</f>
        <v>2</v>
      </c>
      <c r="D223" s="57" t="str">
        <f ca="1">Podatak_MB</f>
        <v>01111329</v>
      </c>
      <c r="E223" s="57" t="str">
        <f ca="1">Podatak_JIB</f>
        <v>4400692320002</v>
      </c>
      <c r="F223" s="57" t="b">
        <f ca="1">Konsolidovan_izvjestaj</f>
        <v>0</v>
      </c>
      <c r="G223" s="140">
        <f ca="1">Datum_Broj</f>
        <v>44742</v>
      </c>
      <c r="H223" s="57">
        <f ca="1">VLOOKUP( $A223, Aop!$A$2:$P$456, 4, 0)</f>
        <v>289</v>
      </c>
      <c r="I223" s="57">
        <f ca="1">Godina</f>
        <v>2022</v>
      </c>
      <c r="J223" s="57"/>
      <c r="K223" s="57"/>
      <c r="L223" s="57"/>
      <c r="M223" s="57" t="str">
        <f t="shared" ca="1" si="33"/>
        <v/>
      </c>
      <c r="N223" s="57" t="str">
        <f t="shared" ca="1" si="34"/>
        <v/>
      </c>
    </row>
    <row r="224" spans="1:14">
      <c r="A224" s="105">
        <v>228</v>
      </c>
      <c r="B224" s="105" t="str">
        <f ca="1">VLOOKUP( $A224, Aop!$A$2:$P$456, 2, 0)</f>
        <v>BUa</v>
      </c>
      <c r="C224" s="57">
        <f t="shared" ca="1" si="30"/>
        <v>2</v>
      </c>
      <c r="D224" s="57" t="str">
        <f t="shared" ca="1" si="27"/>
        <v>01111329</v>
      </c>
      <c r="E224" s="57" t="str">
        <f t="shared" ca="1" si="28"/>
        <v>4400692320002</v>
      </c>
      <c r="F224" s="57" t="b">
        <f t="shared" ca="1" si="31"/>
        <v>0</v>
      </c>
      <c r="G224" s="140">
        <f t="shared" ca="1" si="32"/>
        <v>44742</v>
      </c>
      <c r="H224" s="105">
        <f ca="1">VLOOKUP( $A224, Aop!$A$2:$P$456, 4, 0)</f>
        <v>290</v>
      </c>
      <c r="I224" s="57">
        <f t="shared" ca="1" si="29"/>
        <v>2022</v>
      </c>
      <c r="J224" s="57"/>
      <c r="K224" s="57"/>
      <c r="L224" s="57"/>
      <c r="M224" s="57" t="str">
        <f t="shared" ca="1" si="33"/>
        <v/>
      </c>
      <c r="N224" s="57" t="str">
        <f t="shared" ca="1" si="34"/>
        <v/>
      </c>
    </row>
    <row r="225" spans="1:14">
      <c r="A225" s="105">
        <v>229</v>
      </c>
      <c r="B225" s="105" t="str">
        <f ca="1">VLOOKUP( $A225, Aop!$A$2:$P$456, 2, 0)</f>
        <v>BUa</v>
      </c>
      <c r="C225" s="57">
        <f t="shared" ca="1" si="30"/>
        <v>2</v>
      </c>
      <c r="D225" s="57" t="str">
        <f t="shared" ca="1" si="27"/>
        <v>01111329</v>
      </c>
      <c r="E225" s="57" t="str">
        <f t="shared" ca="1" si="28"/>
        <v>4400692320002</v>
      </c>
      <c r="F225" s="57" t="b">
        <f t="shared" ca="1" si="31"/>
        <v>0</v>
      </c>
      <c r="G225" s="140">
        <f t="shared" ca="1" si="32"/>
        <v>44742</v>
      </c>
      <c r="H225" s="105">
        <f ca="1">VLOOKUP( $A225, Aop!$A$2:$P$456, 4, 0)</f>
        <v>291</v>
      </c>
      <c r="I225" s="57">
        <f t="shared" ca="1" si="29"/>
        <v>2022</v>
      </c>
      <c r="J225" s="57"/>
      <c r="K225" s="57"/>
      <c r="L225" s="57"/>
      <c r="M225" s="57" t="str">
        <f t="shared" ca="1" si="33"/>
        <v/>
      </c>
      <c r="N225" s="57" t="str">
        <f t="shared" ca="1" si="34"/>
        <v/>
      </c>
    </row>
    <row r="226" spans="1:14">
      <c r="A226" s="105">
        <v>230</v>
      </c>
      <c r="B226" s="105" t="str">
        <f ca="1">VLOOKUP( $A226, Aop!$A$2:$P$456, 2, 0)</f>
        <v>BUa</v>
      </c>
      <c r="C226" s="57">
        <f t="shared" ca="1" si="30"/>
        <v>2</v>
      </c>
      <c r="D226" s="57" t="str">
        <f t="shared" ca="1" si="27"/>
        <v>01111329</v>
      </c>
      <c r="E226" s="57" t="str">
        <f t="shared" ca="1" si="28"/>
        <v>4400692320002</v>
      </c>
      <c r="F226" s="57" t="b">
        <f t="shared" ca="1" si="31"/>
        <v>0</v>
      </c>
      <c r="G226" s="140">
        <f t="shared" ca="1" si="32"/>
        <v>44742</v>
      </c>
      <c r="H226" s="105">
        <f ca="1">VLOOKUP( $A226, Aop!$A$2:$P$456, 4, 0)</f>
        <v>292</v>
      </c>
      <c r="I226" s="57">
        <f t="shared" ca="1" si="29"/>
        <v>2022</v>
      </c>
      <c r="J226" s="57"/>
      <c r="K226" s="57"/>
      <c r="L226" s="57"/>
      <c r="M226" s="57" t="str">
        <f t="shared" ca="1" si="33"/>
        <v/>
      </c>
      <c r="N226" s="57" t="str">
        <f t="shared" ca="1" si="34"/>
        <v/>
      </c>
    </row>
    <row r="227" spans="1:14">
      <c r="A227" s="105">
        <v>231</v>
      </c>
      <c r="B227" s="105" t="str">
        <f ca="1">VLOOKUP( $A227, Aop!$A$2:$P$456, 2, 0)</f>
        <v>BUa</v>
      </c>
      <c r="C227" s="57">
        <f t="shared" ca="1" si="30"/>
        <v>2</v>
      </c>
      <c r="D227" s="57" t="str">
        <f t="shared" ca="1" si="27"/>
        <v>01111329</v>
      </c>
      <c r="E227" s="57" t="str">
        <f t="shared" ca="1" si="28"/>
        <v>4400692320002</v>
      </c>
      <c r="F227" s="57" t="b">
        <f t="shared" ca="1" si="31"/>
        <v>0</v>
      </c>
      <c r="G227" s="140">
        <f t="shared" ca="1" si="32"/>
        <v>44742</v>
      </c>
      <c r="H227" s="105">
        <f ca="1">VLOOKUP( $A227, Aop!$A$2:$P$456, 4, 0)</f>
        <v>293</v>
      </c>
      <c r="I227" s="57">
        <f t="shared" ca="1" si="29"/>
        <v>2022</v>
      </c>
      <c r="J227" s="57"/>
      <c r="K227" s="57"/>
      <c r="L227" s="57"/>
      <c r="M227" s="57" t="str">
        <f t="shared" ca="1" si="33"/>
        <v/>
      </c>
      <c r="N227" s="57" t="str">
        <f t="shared" ca="1" si="34"/>
        <v/>
      </c>
    </row>
    <row r="228" spans="1:14">
      <c r="A228" s="105">
        <v>233</v>
      </c>
      <c r="B228" s="105" t="str">
        <f ca="1">VLOOKUP( $A228, Aop!$A$2:$P$456, 2, 0)</f>
        <v>BUa</v>
      </c>
      <c r="C228" s="57">
        <f t="shared" ca="1" si="30"/>
        <v>2</v>
      </c>
      <c r="D228" s="57" t="str">
        <f t="shared" ca="1" si="27"/>
        <v>01111329</v>
      </c>
      <c r="E228" s="57" t="str">
        <f t="shared" ca="1" si="28"/>
        <v>4400692320002</v>
      </c>
      <c r="F228" s="57" t="b">
        <f t="shared" ca="1" si="31"/>
        <v>0</v>
      </c>
      <c r="G228" s="140">
        <f t="shared" ca="1" si="32"/>
        <v>44742</v>
      </c>
      <c r="H228" s="105">
        <f ca="1">VLOOKUP( $A228, Aop!$A$2:$P$456, 4, 0)</f>
        <v>295</v>
      </c>
      <c r="I228" s="57">
        <f t="shared" ca="1" si="29"/>
        <v>2022</v>
      </c>
      <c r="J228" s="57"/>
      <c r="K228" s="57"/>
      <c r="L228" s="57"/>
      <c r="M228" s="57" t="str">
        <f t="shared" ca="1" si="33"/>
        <v/>
      </c>
      <c r="N228" s="57" t="str">
        <f t="shared" ca="1" si="34"/>
        <v/>
      </c>
    </row>
    <row r="229" spans="1:14">
      <c r="A229" s="105">
        <v>234</v>
      </c>
      <c r="B229" s="105" t="str">
        <f ca="1">VLOOKUP( $A229, Aop!$A$2:$P$456, 2, 0)</f>
        <v>BUa</v>
      </c>
      <c r="C229" s="57">
        <f t="shared" ca="1" si="30"/>
        <v>2</v>
      </c>
      <c r="D229" s="57" t="str">
        <f t="shared" ca="1" si="27"/>
        <v>01111329</v>
      </c>
      <c r="E229" s="57" t="str">
        <f t="shared" ca="1" si="28"/>
        <v>4400692320002</v>
      </c>
      <c r="F229" s="57" t="b">
        <f t="shared" ca="1" si="31"/>
        <v>0</v>
      </c>
      <c r="G229" s="140">
        <f t="shared" ca="1" si="32"/>
        <v>44742</v>
      </c>
      <c r="H229" s="105">
        <f ca="1">VLOOKUP( $A229, Aop!$A$2:$P$456, 4, 0)</f>
        <v>296</v>
      </c>
      <c r="I229" s="57">
        <f t="shared" ca="1" si="29"/>
        <v>2022</v>
      </c>
      <c r="J229" s="57"/>
      <c r="K229" s="57"/>
      <c r="L229" s="57"/>
      <c r="M229" s="57" t="str">
        <f t="shared" ca="1" si="33"/>
        <v/>
      </c>
      <c r="N229" s="57" t="str">
        <f t="shared" ca="1" si="34"/>
        <v/>
      </c>
    </row>
    <row r="230" spans="1:14">
      <c r="A230" s="105">
        <v>236</v>
      </c>
      <c r="B230" s="105" t="str">
        <f ca="1">VLOOKUP( $A230, Aop!$A$2:$P$456, 2, 0)</f>
        <v>BUa</v>
      </c>
      <c r="C230" s="57">
        <f t="shared" ca="1" si="30"/>
        <v>2</v>
      </c>
      <c r="D230" s="57" t="str">
        <f t="shared" ca="1" si="27"/>
        <v>01111329</v>
      </c>
      <c r="E230" s="57" t="str">
        <f t="shared" ca="1" si="28"/>
        <v>4400692320002</v>
      </c>
      <c r="F230" s="57" t="b">
        <f t="shared" ca="1" si="31"/>
        <v>0</v>
      </c>
      <c r="G230" s="140">
        <f t="shared" ca="1" si="32"/>
        <v>44742</v>
      </c>
      <c r="H230" s="105">
        <f ca="1">VLOOKUP( $A230, Aop!$A$2:$P$456, 4, 0)</f>
        <v>298</v>
      </c>
      <c r="I230" s="57">
        <f t="shared" ca="1" si="29"/>
        <v>2022</v>
      </c>
      <c r="J230" s="57"/>
      <c r="K230" s="57"/>
      <c r="L230" s="57"/>
      <c r="M230" s="57" t="str">
        <f t="shared" ca="1" si="33"/>
        <v/>
      </c>
      <c r="N230" s="57" t="str">
        <f t="shared" ca="1" si="34"/>
        <v/>
      </c>
    </row>
    <row r="231" spans="1:14">
      <c r="A231" s="105">
        <v>237</v>
      </c>
      <c r="B231" s="105" t="str">
        <f ca="1">VLOOKUP( $A231, Aop!$A$2:$P$456, 2, 0)</f>
        <v>BUa</v>
      </c>
      <c r="C231" s="57">
        <f t="shared" ca="1" si="30"/>
        <v>2</v>
      </c>
      <c r="D231" s="57" t="str">
        <f t="shared" ca="1" si="27"/>
        <v>01111329</v>
      </c>
      <c r="E231" s="57" t="str">
        <f t="shared" ca="1" si="28"/>
        <v>4400692320002</v>
      </c>
      <c r="F231" s="57" t="b">
        <f t="shared" ca="1" si="31"/>
        <v>0</v>
      </c>
      <c r="G231" s="140">
        <f t="shared" ca="1" si="32"/>
        <v>44742</v>
      </c>
      <c r="H231" s="105">
        <f ca="1">VLOOKUP( $A231, Aop!$A$2:$P$456, 4, 0)</f>
        <v>299</v>
      </c>
      <c r="I231" s="57">
        <f t="shared" ca="1" si="29"/>
        <v>2022</v>
      </c>
      <c r="J231" s="57"/>
      <c r="K231" s="57"/>
      <c r="L231" s="57"/>
      <c r="M231" s="57" t="str">
        <f t="shared" ca="1" si="33"/>
        <v/>
      </c>
      <c r="N231" s="57">
        <f t="shared" ca="1" si="34"/>
        <v>11450</v>
      </c>
    </row>
    <row r="232" spans="1:14">
      <c r="A232" s="105">
        <v>238</v>
      </c>
      <c r="B232" s="105" t="str">
        <f ca="1">VLOOKUP( $A232, Aop!$A$2:$P$456, 2, 0)</f>
        <v>BUa</v>
      </c>
      <c r="C232" s="57">
        <f t="shared" ca="1" si="30"/>
        <v>2</v>
      </c>
      <c r="D232" s="57" t="str">
        <f t="shared" ca="1" si="27"/>
        <v>01111329</v>
      </c>
      <c r="E232" s="57" t="str">
        <f t="shared" ca="1" si="28"/>
        <v>4400692320002</v>
      </c>
      <c r="F232" s="57" t="b">
        <f t="shared" ca="1" si="31"/>
        <v>0</v>
      </c>
      <c r="G232" s="140">
        <f t="shared" ca="1" si="32"/>
        <v>44742</v>
      </c>
      <c r="H232" s="105">
        <f ca="1">VLOOKUP( $A232, Aop!$A$2:$P$456, 4, 0)</f>
        <v>300</v>
      </c>
      <c r="I232" s="57">
        <f t="shared" ca="1" si="29"/>
        <v>2022</v>
      </c>
      <c r="J232" s="57"/>
      <c r="K232" s="57"/>
      <c r="L232" s="57"/>
      <c r="M232" s="57" t="str">
        <f t="shared" ca="1" si="33"/>
        <v/>
      </c>
      <c r="N232" s="57">
        <f t="shared" ca="1" si="34"/>
        <v>0</v>
      </c>
    </row>
    <row r="233" spans="1:14">
      <c r="A233" s="105">
        <v>240</v>
      </c>
      <c r="B233" s="105" t="str">
        <f ca="1">VLOOKUP( $A233, Aop!$A$2:$P$456, 2, 0)</f>
        <v>BUa</v>
      </c>
      <c r="C233" s="57">
        <f t="shared" ca="1" si="30"/>
        <v>2</v>
      </c>
      <c r="D233" s="57" t="str">
        <f t="shared" ca="1" si="27"/>
        <v>01111329</v>
      </c>
      <c r="E233" s="57" t="str">
        <f t="shared" ca="1" si="28"/>
        <v>4400692320002</v>
      </c>
      <c r="F233" s="57" t="b">
        <f t="shared" ca="1" si="31"/>
        <v>0</v>
      </c>
      <c r="G233" s="140">
        <f t="shared" ca="1" si="32"/>
        <v>44742</v>
      </c>
      <c r="H233" s="105">
        <f ca="1">VLOOKUP( $A233, Aop!$A$2:$P$456, 4, 0)</f>
        <v>302</v>
      </c>
      <c r="I233" s="57">
        <f t="shared" ca="1" si="29"/>
        <v>2022</v>
      </c>
      <c r="J233" s="57"/>
      <c r="K233" s="57"/>
      <c r="L233" s="57"/>
      <c r="M233" s="57" t="str">
        <f t="shared" ca="1" si="33"/>
        <v/>
      </c>
      <c r="N233" s="57" t="str">
        <f t="shared" ca="1" si="34"/>
        <v/>
      </c>
    </row>
    <row r="234" spans="1:14">
      <c r="A234" s="105">
        <v>241</v>
      </c>
      <c r="B234" s="105" t="str">
        <f ca="1">VLOOKUP( $A234, Aop!$A$2:$P$456, 2, 0)</f>
        <v>BUa</v>
      </c>
      <c r="C234" s="57">
        <f t="shared" ca="1" si="30"/>
        <v>2</v>
      </c>
      <c r="D234" s="57" t="str">
        <f t="shared" ca="1" si="27"/>
        <v>01111329</v>
      </c>
      <c r="E234" s="57" t="str">
        <f t="shared" ca="1" si="28"/>
        <v>4400692320002</v>
      </c>
      <c r="F234" s="57" t="b">
        <f t="shared" ca="1" si="31"/>
        <v>0</v>
      </c>
      <c r="G234" s="140">
        <f t="shared" ca="1" si="32"/>
        <v>44742</v>
      </c>
      <c r="H234" s="105">
        <f ca="1">VLOOKUP( $A234, Aop!$A$2:$P$456, 4, 0)</f>
        <v>303</v>
      </c>
      <c r="I234" s="57">
        <f t="shared" ca="1" si="29"/>
        <v>2022</v>
      </c>
      <c r="J234" s="57"/>
      <c r="K234" s="57"/>
      <c r="L234" s="57"/>
      <c r="M234" s="57" t="str">
        <f t="shared" ca="1" si="33"/>
        <v/>
      </c>
      <c r="N234" s="57" t="str">
        <f t="shared" ca="1" si="34"/>
        <v/>
      </c>
    </row>
    <row r="235" spans="1:14">
      <c r="A235" s="105">
        <v>242</v>
      </c>
      <c r="B235" s="105" t="str">
        <f ca="1">VLOOKUP( $A235, Aop!$A$2:$P$456, 2, 0)</f>
        <v>BUa</v>
      </c>
      <c r="C235" s="57">
        <f t="shared" ca="1" si="30"/>
        <v>2</v>
      </c>
      <c r="D235" s="57" t="str">
        <f t="shared" ca="1" si="27"/>
        <v>01111329</v>
      </c>
      <c r="E235" s="57" t="str">
        <f t="shared" ca="1" si="28"/>
        <v>4400692320002</v>
      </c>
      <c r="F235" s="57" t="b">
        <f t="shared" ca="1" si="31"/>
        <v>0</v>
      </c>
      <c r="G235" s="140">
        <f t="shared" ca="1" si="32"/>
        <v>44742</v>
      </c>
      <c r="H235" s="105">
        <f ca="1">VLOOKUP( $A235, Aop!$A$2:$P$456, 4, 0)</f>
        <v>304</v>
      </c>
      <c r="I235" s="57">
        <f t="shared" ca="1" si="29"/>
        <v>2022</v>
      </c>
      <c r="J235" s="57"/>
      <c r="K235" s="57"/>
      <c r="L235" s="57"/>
      <c r="M235" s="57" t="str">
        <f t="shared" ca="1" si="33"/>
        <v/>
      </c>
      <c r="N235" s="57" t="str">
        <f t="shared" ca="1" si="34"/>
        <v/>
      </c>
    </row>
    <row r="236" spans="1:14">
      <c r="A236" s="105">
        <v>243</v>
      </c>
      <c r="B236" s="105" t="str">
        <f ca="1">VLOOKUP( $A236, Aop!$A$2:$P$456, 2, 0)</f>
        <v>BUa</v>
      </c>
      <c r="C236" s="57">
        <f t="shared" ca="1" si="30"/>
        <v>2</v>
      </c>
      <c r="D236" s="57" t="str">
        <f t="shared" ca="1" si="27"/>
        <v>01111329</v>
      </c>
      <c r="E236" s="57" t="str">
        <f t="shared" ca="1" si="28"/>
        <v>4400692320002</v>
      </c>
      <c r="F236" s="57" t="b">
        <f t="shared" ca="1" si="31"/>
        <v>0</v>
      </c>
      <c r="G236" s="140">
        <f t="shared" ca="1" si="32"/>
        <v>44742</v>
      </c>
      <c r="H236" s="105">
        <f ca="1">VLOOKUP( $A236, Aop!$A$2:$P$456, 4, 0)</f>
        <v>305</v>
      </c>
      <c r="I236" s="57">
        <f t="shared" ca="1" si="29"/>
        <v>2022</v>
      </c>
      <c r="J236" s="57"/>
      <c r="K236" s="57"/>
      <c r="L236" s="57"/>
      <c r="M236" s="57" t="str">
        <f t="shared" ca="1" si="33"/>
        <v/>
      </c>
      <c r="N236" s="57">
        <f t="shared" ca="1" si="34"/>
        <v>17980199</v>
      </c>
    </row>
    <row r="237" spans="1:14">
      <c r="A237" s="105">
        <v>244</v>
      </c>
      <c r="B237" s="105" t="str">
        <f ca="1">VLOOKUP( $A237, Aop!$A$2:$P$456, 2, 0)</f>
        <v>BUa</v>
      </c>
      <c r="C237" s="57">
        <f t="shared" ca="1" si="30"/>
        <v>2</v>
      </c>
      <c r="D237" s="57" t="str">
        <f t="shared" ca="1" si="27"/>
        <v>01111329</v>
      </c>
      <c r="E237" s="57" t="str">
        <f t="shared" ca="1" si="28"/>
        <v>4400692320002</v>
      </c>
      <c r="F237" s="57" t="b">
        <f t="shared" ca="1" si="31"/>
        <v>0</v>
      </c>
      <c r="G237" s="140">
        <f t="shared" ca="1" si="32"/>
        <v>44742</v>
      </c>
      <c r="H237" s="105">
        <f ca="1">VLOOKUP( $A237, Aop!$A$2:$P$456, 4, 0)</f>
        <v>306</v>
      </c>
      <c r="I237" s="57">
        <f t="shared" ca="1" si="29"/>
        <v>2022</v>
      </c>
      <c r="J237" s="57"/>
      <c r="K237" s="57"/>
      <c r="L237" s="57"/>
      <c r="M237" s="57" t="str">
        <f t="shared" ca="1" si="33"/>
        <v/>
      </c>
      <c r="N237" s="57">
        <f t="shared" ca="1" si="34"/>
        <v>1679285</v>
      </c>
    </row>
    <row r="238" spans="1:14">
      <c r="A238" s="105">
        <v>245</v>
      </c>
      <c r="B238" s="105" t="str">
        <f ca="1">VLOOKUP( $A238, Aop!$A$2:$P$456, 2, 0)</f>
        <v>BUa</v>
      </c>
      <c r="C238" s="57">
        <f t="shared" ca="1" si="30"/>
        <v>2</v>
      </c>
      <c r="D238" s="57" t="str">
        <f t="shared" ca="1" si="27"/>
        <v>01111329</v>
      </c>
      <c r="E238" s="57" t="str">
        <f t="shared" ca="1" si="28"/>
        <v>4400692320002</v>
      </c>
      <c r="F238" s="57" t="b">
        <f t="shared" ca="1" si="31"/>
        <v>0</v>
      </c>
      <c r="G238" s="140">
        <f t="shared" ca="1" si="32"/>
        <v>44742</v>
      </c>
      <c r="H238" s="105">
        <f ca="1">VLOOKUP( $A238, Aop!$A$2:$P$456, 4, 0)</f>
        <v>307</v>
      </c>
      <c r="I238" s="57">
        <f t="shared" ca="1" si="29"/>
        <v>2022</v>
      </c>
      <c r="J238" s="57"/>
      <c r="K238" s="57"/>
      <c r="L238" s="57"/>
      <c r="M238" s="57" t="str">
        <f t="shared" ca="1" si="33"/>
        <v/>
      </c>
      <c r="N238" s="57">
        <f t="shared" ca="1" si="34"/>
        <v>16300914</v>
      </c>
    </row>
    <row r="239" spans="1:14">
      <c r="A239" s="105">
        <v>246</v>
      </c>
      <c r="B239" s="105" t="str">
        <f ca="1">VLOOKUP( $A239, Aop!$A$2:$P$456, 2, 0)</f>
        <v>BUa</v>
      </c>
      <c r="C239" s="57">
        <f t="shared" ca="1" si="30"/>
        <v>2</v>
      </c>
      <c r="D239" s="57" t="str">
        <f t="shared" ca="1" si="27"/>
        <v>01111329</v>
      </c>
      <c r="E239" s="57" t="str">
        <f t="shared" ca="1" si="28"/>
        <v>4400692320002</v>
      </c>
      <c r="F239" s="57" t="b">
        <f t="shared" ca="1" si="31"/>
        <v>0</v>
      </c>
      <c r="G239" s="140">
        <f t="shared" ca="1" si="32"/>
        <v>44742</v>
      </c>
      <c r="H239" s="105">
        <f ca="1">VLOOKUP( $A239, Aop!$A$2:$P$456, 4, 0)</f>
        <v>308</v>
      </c>
      <c r="I239" s="57">
        <f t="shared" ca="1" si="29"/>
        <v>2022</v>
      </c>
      <c r="J239" s="57"/>
      <c r="K239" s="57"/>
      <c r="L239" s="57"/>
      <c r="M239" s="57" t="str">
        <f t="shared" ca="1" si="33"/>
        <v/>
      </c>
      <c r="N239" s="57">
        <f t="shared" ca="1" si="34"/>
        <v>0</v>
      </c>
    </row>
    <row r="240" spans="1:14">
      <c r="A240" s="105">
        <v>247</v>
      </c>
      <c r="B240" s="105" t="str">
        <f ca="1">VLOOKUP( $A240, Aop!$A$2:$P$456, 2, 0)</f>
        <v>BUa</v>
      </c>
      <c r="C240" s="57">
        <f t="shared" ca="1" si="30"/>
        <v>2</v>
      </c>
      <c r="D240" s="57" t="str">
        <f t="shared" ca="1" si="27"/>
        <v>01111329</v>
      </c>
      <c r="E240" s="57" t="str">
        <f t="shared" ca="1" si="28"/>
        <v>4400692320002</v>
      </c>
      <c r="F240" s="57" t="b">
        <f t="shared" ca="1" si="31"/>
        <v>0</v>
      </c>
      <c r="G240" s="140">
        <f t="shared" ca="1" si="32"/>
        <v>44742</v>
      </c>
      <c r="H240" s="105">
        <f ca="1">VLOOKUP( $A240, Aop!$A$2:$P$456, 4, 0)</f>
        <v>309</v>
      </c>
      <c r="I240" s="57">
        <f t="shared" ca="1" si="29"/>
        <v>2022</v>
      </c>
      <c r="J240" s="57"/>
      <c r="K240" s="57"/>
      <c r="L240" s="57"/>
      <c r="M240" s="57" t="str">
        <f t="shared" ca="1" si="33"/>
        <v/>
      </c>
      <c r="N240" s="57" t="str">
        <f t="shared" ca="1" si="34"/>
        <v/>
      </c>
    </row>
    <row r="241" spans="1:14">
      <c r="A241" s="105">
        <v>248</v>
      </c>
      <c r="B241" s="105" t="str">
        <f ca="1">VLOOKUP( $A241, Aop!$A$2:$P$456, 2, 0)</f>
        <v>BUa</v>
      </c>
      <c r="C241" s="57">
        <f t="shared" ca="1" si="30"/>
        <v>2</v>
      </c>
      <c r="D241" s="57" t="str">
        <f t="shared" ca="1" si="27"/>
        <v>01111329</v>
      </c>
      <c r="E241" s="57" t="str">
        <f t="shared" ca="1" si="28"/>
        <v>4400692320002</v>
      </c>
      <c r="F241" s="57" t="b">
        <f t="shared" ca="1" si="31"/>
        <v>0</v>
      </c>
      <c r="G241" s="140">
        <f t="shared" ca="1" si="32"/>
        <v>44742</v>
      </c>
      <c r="H241" s="105">
        <f ca="1">VLOOKUP( $A241, Aop!$A$2:$P$456, 4, 0)</f>
        <v>310</v>
      </c>
      <c r="I241" s="57">
        <f t="shared" ca="1" si="29"/>
        <v>2022</v>
      </c>
      <c r="J241" s="57"/>
      <c r="K241" s="57"/>
      <c r="L241" s="57"/>
      <c r="M241" s="57" t="str">
        <f t="shared" ca="1" si="33"/>
        <v/>
      </c>
      <c r="N241" s="57">
        <f t="shared" ca="1" si="34"/>
        <v>0</v>
      </c>
    </row>
    <row r="242" spans="1:14">
      <c r="A242" s="105">
        <v>249</v>
      </c>
      <c r="B242" s="105" t="str">
        <f ca="1">VLOOKUP( $A242, Aop!$A$2:$P$456, 2, 0)</f>
        <v>BUa</v>
      </c>
      <c r="C242" s="57">
        <f t="shared" ca="1" si="30"/>
        <v>2</v>
      </c>
      <c r="D242" s="57" t="str">
        <f t="shared" ca="1" si="27"/>
        <v>01111329</v>
      </c>
      <c r="E242" s="57" t="str">
        <f t="shared" ca="1" si="28"/>
        <v>4400692320002</v>
      </c>
      <c r="F242" s="57" t="b">
        <f t="shared" ca="1" si="31"/>
        <v>0</v>
      </c>
      <c r="G242" s="140">
        <f t="shared" ca="1" si="32"/>
        <v>44742</v>
      </c>
      <c r="H242" s="105">
        <f ca="1">VLOOKUP( $A242, Aop!$A$2:$P$456, 4, 0)</f>
        <v>311</v>
      </c>
      <c r="I242" s="57">
        <f t="shared" ca="1" si="29"/>
        <v>2022</v>
      </c>
      <c r="J242" s="57"/>
      <c r="K242" s="57"/>
      <c r="L242" s="57"/>
      <c r="M242" s="57" t="str">
        <f t="shared" ca="1" si="33"/>
        <v/>
      </c>
      <c r="N242" s="57" t="str">
        <f t="shared" ca="1" si="34"/>
        <v/>
      </c>
    </row>
    <row r="243" spans="1:14">
      <c r="A243" s="105">
        <v>250</v>
      </c>
      <c r="B243" s="105" t="str">
        <f ca="1">VLOOKUP( $A243, Aop!$A$2:$P$456, 2, 0)</f>
        <v>BUa</v>
      </c>
      <c r="C243" s="57">
        <f t="shared" ca="1" si="30"/>
        <v>2</v>
      </c>
      <c r="D243" s="57" t="str">
        <f t="shared" ca="1" si="27"/>
        <v>01111329</v>
      </c>
      <c r="E243" s="57" t="str">
        <f t="shared" ca="1" si="28"/>
        <v>4400692320002</v>
      </c>
      <c r="F243" s="57" t="b">
        <f t="shared" ca="1" si="31"/>
        <v>0</v>
      </c>
      <c r="G243" s="140">
        <f t="shared" ca="1" si="32"/>
        <v>44742</v>
      </c>
      <c r="H243" s="105">
        <f ca="1">VLOOKUP( $A243, Aop!$A$2:$P$456, 4, 0)</f>
        <v>312</v>
      </c>
      <c r="I243" s="57">
        <f t="shared" ca="1" si="29"/>
        <v>2022</v>
      </c>
      <c r="J243" s="57"/>
      <c r="K243" s="57"/>
      <c r="L243" s="57"/>
      <c r="M243" s="57" t="str">
        <f t="shared" ca="1" si="33"/>
        <v/>
      </c>
      <c r="N243" s="57" t="str">
        <f t="shared" ca="1" si="34"/>
        <v/>
      </c>
    </row>
    <row r="244" spans="1:14">
      <c r="A244" s="105">
        <v>251</v>
      </c>
      <c r="B244" s="105" t="str">
        <f ca="1">VLOOKUP( $A244, Aop!$A$2:$P$456, 2, 0)</f>
        <v>BUa</v>
      </c>
      <c r="C244" s="57">
        <f t="shared" ca="1" si="30"/>
        <v>2</v>
      </c>
      <c r="D244" s="57" t="str">
        <f t="shared" ca="1" si="27"/>
        <v>01111329</v>
      </c>
      <c r="E244" s="57" t="str">
        <f t="shared" ca="1" si="28"/>
        <v>4400692320002</v>
      </c>
      <c r="F244" s="57" t="b">
        <f t="shared" ca="1" si="31"/>
        <v>0</v>
      </c>
      <c r="G244" s="140">
        <f t="shared" ca="1" si="32"/>
        <v>44742</v>
      </c>
      <c r="H244" s="105">
        <f ca="1">VLOOKUP( $A244, Aop!$A$2:$P$456, 4, 0)</f>
        <v>313</v>
      </c>
      <c r="I244" s="57">
        <f t="shared" ca="1" si="29"/>
        <v>2022</v>
      </c>
      <c r="J244" s="57"/>
      <c r="K244" s="57"/>
      <c r="L244" s="57"/>
      <c r="M244" s="57" t="str">
        <f t="shared" ca="1" si="33"/>
        <v/>
      </c>
      <c r="N244" s="57">
        <f t="shared" ca="1" si="34"/>
        <v>0</v>
      </c>
    </row>
    <row r="245" spans="1:14">
      <c r="A245" s="105">
        <v>252</v>
      </c>
      <c r="B245" s="105" t="str">
        <f ca="1">VLOOKUP( $A245, Aop!$A$2:$P$456, 2, 0)</f>
        <v>BUa</v>
      </c>
      <c r="C245" s="57">
        <f t="shared" ca="1" si="30"/>
        <v>2</v>
      </c>
      <c r="D245" s="57" t="str">
        <f t="shared" ca="1" si="27"/>
        <v>01111329</v>
      </c>
      <c r="E245" s="57" t="str">
        <f t="shared" ca="1" si="28"/>
        <v>4400692320002</v>
      </c>
      <c r="F245" s="57" t="b">
        <f t="shared" ca="1" si="31"/>
        <v>0</v>
      </c>
      <c r="G245" s="140">
        <f t="shared" ca="1" si="32"/>
        <v>44742</v>
      </c>
      <c r="H245" s="105">
        <f ca="1">VLOOKUP( $A245, Aop!$A$2:$P$456, 4, 0)</f>
        <v>314</v>
      </c>
      <c r="I245" s="57">
        <f t="shared" ca="1" si="29"/>
        <v>2022</v>
      </c>
      <c r="J245" s="57"/>
      <c r="K245" s="57"/>
      <c r="L245" s="57"/>
      <c r="M245" s="57" t="str">
        <f t="shared" ca="1" si="33"/>
        <v/>
      </c>
      <c r="N245" s="57" t="str">
        <f t="shared" ca="1" si="34"/>
        <v/>
      </c>
    </row>
    <row r="246" spans="1:14">
      <c r="A246" s="105">
        <v>253</v>
      </c>
      <c r="B246" s="105" t="str">
        <f ca="1">VLOOKUP( $A246, Aop!$A$2:$P$456, 2, 0)</f>
        <v>BUa</v>
      </c>
      <c r="C246" s="57">
        <f t="shared" ca="1" si="30"/>
        <v>2</v>
      </c>
      <c r="D246" s="57" t="str">
        <f t="shared" ca="1" si="27"/>
        <v>01111329</v>
      </c>
      <c r="E246" s="57" t="str">
        <f t="shared" ca="1" si="28"/>
        <v>4400692320002</v>
      </c>
      <c r="F246" s="57" t="b">
        <f t="shared" ca="1" si="31"/>
        <v>0</v>
      </c>
      <c r="G246" s="140">
        <f t="shared" ca="1" si="32"/>
        <v>44742</v>
      </c>
      <c r="H246" s="105">
        <f ca="1">VLOOKUP( $A246, Aop!$A$2:$P$456, 4, 0)</f>
        <v>315</v>
      </c>
      <c r="I246" s="57">
        <f t="shared" ca="1" si="29"/>
        <v>2022</v>
      </c>
      <c r="J246" s="57"/>
      <c r="K246" s="57"/>
      <c r="L246" s="57"/>
      <c r="M246" s="57" t="str">
        <f t="shared" ca="1" si="33"/>
        <v/>
      </c>
      <c r="N246" s="57" t="str">
        <f t="shared" ca="1" si="34"/>
        <v/>
      </c>
    </row>
    <row r="247" spans="1:14">
      <c r="A247" s="105">
        <v>254</v>
      </c>
      <c r="B247" s="57" t="str">
        <f ca="1">VLOOKUP( $A247, Aop!$A$2:$P$456, 2, 0)</f>
        <v>BUa</v>
      </c>
      <c r="C247" s="57">
        <f ca="1">ID_Izvjestaj</f>
        <v>2</v>
      </c>
      <c r="D247" s="57" t="str">
        <f ca="1">Podatak_MB</f>
        <v>01111329</v>
      </c>
      <c r="E247" s="57" t="str">
        <f ca="1">Podatak_JIB</f>
        <v>4400692320002</v>
      </c>
      <c r="F247" s="57" t="b">
        <f ca="1">Konsolidovan_izvjestaj</f>
        <v>0</v>
      </c>
      <c r="G247" s="140">
        <f ca="1">Datum_Broj</f>
        <v>44742</v>
      </c>
      <c r="H247" s="57">
        <f ca="1">VLOOKUP( $A247, Aop!$A$2:$P$456, 4, 0)</f>
        <v>316</v>
      </c>
      <c r="I247" s="57">
        <f ca="1">Godina</f>
        <v>2022</v>
      </c>
      <c r="J247" s="57"/>
      <c r="K247" s="57"/>
      <c r="L247" s="57"/>
      <c r="M247" s="57" t="str">
        <f t="shared" ca="1" si="33"/>
        <v/>
      </c>
      <c r="N247" s="57">
        <f t="shared" ca="1" si="34"/>
        <v>16300914</v>
      </c>
    </row>
    <row r="248" spans="1:14">
      <c r="A248" s="105">
        <v>255</v>
      </c>
      <c r="B248" s="105" t="str">
        <f ca="1">VLOOKUP( $A248, Aop!$A$2:$P$456, 2, 0)</f>
        <v>BUa</v>
      </c>
      <c r="C248" s="57">
        <f t="shared" ca="1" si="30"/>
        <v>2</v>
      </c>
      <c r="D248" s="57" t="str">
        <f t="shared" ca="1" si="27"/>
        <v>01111329</v>
      </c>
      <c r="E248" s="57" t="str">
        <f t="shared" ca="1" si="28"/>
        <v>4400692320002</v>
      </c>
      <c r="F248" s="57" t="b">
        <f t="shared" ca="1" si="31"/>
        <v>0</v>
      </c>
      <c r="G248" s="140">
        <f t="shared" ca="1" si="32"/>
        <v>44742</v>
      </c>
      <c r="H248" s="105">
        <f ca="1">VLOOKUP( $A248, Aop!$A$2:$P$456, 4, 0)</f>
        <v>317</v>
      </c>
      <c r="I248" s="57">
        <f t="shared" ca="1" si="29"/>
        <v>2022</v>
      </c>
      <c r="J248" s="57"/>
      <c r="K248" s="57"/>
      <c r="L248" s="57"/>
      <c r="M248" s="57" t="str">
        <f t="shared" ca="1" si="33"/>
        <v/>
      </c>
      <c r="N248" s="57">
        <f t="shared" ca="1" si="34"/>
        <v>0</v>
      </c>
    </row>
    <row r="249" spans="1:14">
      <c r="A249" s="105">
        <v>256</v>
      </c>
      <c r="B249" s="105" t="str">
        <f ca="1">VLOOKUP( $A249, Aop!$A$2:$P$456, 2, 0)</f>
        <v>BUa</v>
      </c>
      <c r="C249" s="57">
        <f t="shared" ca="1" si="30"/>
        <v>2</v>
      </c>
      <c r="D249" s="57" t="str">
        <f t="shared" ca="1" si="27"/>
        <v>01111329</v>
      </c>
      <c r="E249" s="57" t="str">
        <f t="shared" ca="1" si="28"/>
        <v>4400692320002</v>
      </c>
      <c r="F249" s="57" t="b">
        <f t="shared" ca="1" si="31"/>
        <v>0</v>
      </c>
      <c r="G249" s="140">
        <f t="shared" ca="1" si="32"/>
        <v>44742</v>
      </c>
      <c r="H249" s="105">
        <f ca="1">VLOOKUP( $A249, Aop!$A$2:$P$456, 4, 0)</f>
        <v>318</v>
      </c>
      <c r="I249" s="57">
        <f t="shared" ca="1" si="29"/>
        <v>2022</v>
      </c>
      <c r="J249" s="57"/>
      <c r="K249" s="57"/>
      <c r="L249" s="57"/>
      <c r="M249" s="57" t="str">
        <f t="shared" ca="1" si="33"/>
        <v/>
      </c>
      <c r="N249" s="57" t="str">
        <f t="shared" ca="1" si="34"/>
        <v/>
      </c>
    </row>
    <row r="250" spans="1:14">
      <c r="A250" s="105">
        <v>257</v>
      </c>
      <c r="B250" s="57" t="str">
        <f ca="1">VLOOKUP( $A250, Aop!$A$2:$P$456, 2, 0)</f>
        <v>BUa</v>
      </c>
      <c r="C250" s="57">
        <f ca="1">ID_Izvjestaj</f>
        <v>2</v>
      </c>
      <c r="D250" s="57" t="str">
        <f ca="1">Podatak_MB</f>
        <v>01111329</v>
      </c>
      <c r="E250" s="57" t="str">
        <f ca="1">Podatak_JIB</f>
        <v>4400692320002</v>
      </c>
      <c r="F250" s="57" t="b">
        <f ca="1">Konsolidovan_izvjestaj</f>
        <v>0</v>
      </c>
      <c r="G250" s="140">
        <f ca="1">Datum_Broj</f>
        <v>44742</v>
      </c>
      <c r="H250" s="57">
        <f ca="1">VLOOKUP( $A250, Aop!$A$2:$P$456, 4, 0)</f>
        <v>319</v>
      </c>
      <c r="I250" s="57">
        <f ca="1">Godina</f>
        <v>2022</v>
      </c>
      <c r="J250" s="57"/>
      <c r="K250" s="57"/>
      <c r="L250" s="57"/>
      <c r="M250" s="57" t="str">
        <f t="shared" ca="1" si="33"/>
        <v/>
      </c>
      <c r="N250" s="57" t="str">
        <f t="shared" ca="1" si="34"/>
        <v/>
      </c>
    </row>
    <row r="251" spans="1:14">
      <c r="A251" s="105">
        <v>258</v>
      </c>
      <c r="B251" s="105" t="str">
        <f ca="1">VLOOKUP( $A251, Aop!$A$2:$P$456, 2, 0)</f>
        <v>BUa</v>
      </c>
      <c r="C251" s="57">
        <f t="shared" ca="1" si="30"/>
        <v>2</v>
      </c>
      <c r="D251" s="57" t="str">
        <f t="shared" ca="1" si="27"/>
        <v>01111329</v>
      </c>
      <c r="E251" s="57" t="str">
        <f t="shared" ca="1" si="28"/>
        <v>4400692320002</v>
      </c>
      <c r="F251" s="57" t="b">
        <f t="shared" ca="1" si="31"/>
        <v>0</v>
      </c>
      <c r="G251" s="140">
        <f t="shared" ca="1" si="32"/>
        <v>44742</v>
      </c>
      <c r="H251" s="105">
        <f ca="1">VLOOKUP( $A251, Aop!$A$2:$P$456, 4, 0)</f>
        <v>320</v>
      </c>
      <c r="I251" s="57">
        <f t="shared" ca="1" si="29"/>
        <v>2022</v>
      </c>
      <c r="J251" s="57"/>
      <c r="K251" s="57"/>
      <c r="L251" s="57"/>
      <c r="M251" s="57" t="str">
        <f t="shared" ca="1" si="33"/>
        <v/>
      </c>
      <c r="N251" s="57" t="str">
        <f t="shared" ca="1" si="34"/>
        <v/>
      </c>
    </row>
    <row r="252" spans="1:14">
      <c r="A252" s="105">
        <v>259</v>
      </c>
      <c r="B252" s="105" t="str">
        <f ca="1">VLOOKUP( $A252, Aop!$A$2:$P$456, 2, 0)</f>
        <v>BUa</v>
      </c>
      <c r="C252" s="57">
        <f t="shared" ca="1" si="30"/>
        <v>2</v>
      </c>
      <c r="D252" s="57" t="str">
        <f t="shared" ref="D252:D309" ca="1" si="35">Podatak_MB</f>
        <v>01111329</v>
      </c>
      <c r="E252" s="57" t="str">
        <f t="shared" ref="E252:E309" ca="1" si="36">Podatak_JIB</f>
        <v>4400692320002</v>
      </c>
      <c r="F252" s="57" t="b">
        <f t="shared" ca="1" si="31"/>
        <v>0</v>
      </c>
      <c r="G252" s="140">
        <f t="shared" ca="1" si="32"/>
        <v>44742</v>
      </c>
      <c r="H252" s="105">
        <f ca="1">VLOOKUP( $A252, Aop!$A$2:$P$456, 4, 0)</f>
        <v>321</v>
      </c>
      <c r="I252" s="57">
        <f t="shared" ref="I252:I309" ca="1" si="37">Godina</f>
        <v>2022</v>
      </c>
      <c r="J252" s="57"/>
      <c r="K252" s="57"/>
      <c r="L252" s="57"/>
      <c r="M252" s="57" t="str">
        <f t="shared" ca="1" si="33"/>
        <v/>
      </c>
      <c r="N252" s="57" t="str">
        <f t="shared" ca="1" si="34"/>
        <v/>
      </c>
    </row>
    <row r="253" spans="1:14">
      <c r="A253" s="105">
        <v>260</v>
      </c>
      <c r="B253" s="105" t="str">
        <f ca="1">VLOOKUP( $A253, Aop!$A$2:$P$456, 2, 0)</f>
        <v>BUa</v>
      </c>
      <c r="C253" s="57">
        <f t="shared" ref="C253:C310" ca="1" si="38">ID_Izvjestaj</f>
        <v>2</v>
      </c>
      <c r="D253" s="57" t="str">
        <f t="shared" ca="1" si="35"/>
        <v>01111329</v>
      </c>
      <c r="E253" s="57" t="str">
        <f t="shared" ca="1" si="36"/>
        <v>4400692320002</v>
      </c>
      <c r="F253" s="57" t="b">
        <f t="shared" ref="F253:F310" ca="1" si="39">Konsolidovan_izvjestaj</f>
        <v>0</v>
      </c>
      <c r="G253" s="140">
        <f t="shared" ref="G253:G310" ca="1" si="40">Datum_Broj</f>
        <v>44742</v>
      </c>
      <c r="H253" s="105">
        <f ca="1">VLOOKUP( $A253, Aop!$A$2:$P$456, 4, 0)</f>
        <v>322</v>
      </c>
      <c r="I253" s="57">
        <f t="shared" ca="1" si="37"/>
        <v>2022</v>
      </c>
      <c r="J253" s="57"/>
      <c r="K253" s="57"/>
      <c r="L253" s="57"/>
      <c r="M253" s="57" t="str">
        <f t="shared" ca="1" si="33"/>
        <v/>
      </c>
      <c r="N253" s="57" t="str">
        <f t="shared" ca="1" si="34"/>
        <v/>
      </c>
    </row>
    <row r="254" spans="1:14">
      <c r="A254" s="105">
        <v>261</v>
      </c>
      <c r="B254" s="105" t="str">
        <f ca="1">VLOOKUP( $A254, Aop!$A$2:$P$456, 2, 0)</f>
        <v>BUa</v>
      </c>
      <c r="C254" s="57">
        <f t="shared" ca="1" si="38"/>
        <v>2</v>
      </c>
      <c r="D254" s="57" t="str">
        <f t="shared" ca="1" si="35"/>
        <v>01111329</v>
      </c>
      <c r="E254" s="57" t="str">
        <f t="shared" ca="1" si="36"/>
        <v>4400692320002</v>
      </c>
      <c r="F254" s="57" t="b">
        <f t="shared" ca="1" si="39"/>
        <v>0</v>
      </c>
      <c r="G254" s="140">
        <f t="shared" ca="1" si="40"/>
        <v>44742</v>
      </c>
      <c r="H254" s="105">
        <f ca="1">VLOOKUP( $A254, Aop!$A$2:$P$456, 4, 0)</f>
        <v>323</v>
      </c>
      <c r="I254" s="57">
        <f t="shared" ca="1" si="37"/>
        <v>2022</v>
      </c>
      <c r="J254" s="57"/>
      <c r="K254" s="57"/>
      <c r="L254" s="57"/>
      <c r="M254" s="57" t="str">
        <f t="shared" ca="1" si="33"/>
        <v/>
      </c>
      <c r="N254" s="57">
        <f t="shared" ca="1" si="34"/>
        <v>47</v>
      </c>
    </row>
    <row r="255" spans="1:14">
      <c r="A255" s="105">
        <v>262</v>
      </c>
      <c r="B255" s="105" t="str">
        <f ca="1">VLOOKUP( $A255, Aop!$A$2:$P$456, 2, 0)</f>
        <v>BUa</v>
      </c>
      <c r="C255" s="57">
        <f t="shared" ca="1" si="38"/>
        <v>2</v>
      </c>
      <c r="D255" s="57" t="str">
        <f t="shared" ca="1" si="35"/>
        <v>01111329</v>
      </c>
      <c r="E255" s="57" t="str">
        <f t="shared" ca="1" si="36"/>
        <v>4400692320002</v>
      </c>
      <c r="F255" s="57" t="b">
        <f t="shared" ca="1" si="39"/>
        <v>0</v>
      </c>
      <c r="G255" s="140">
        <f t="shared" ca="1" si="40"/>
        <v>44742</v>
      </c>
      <c r="H255" s="105">
        <f ca="1">VLOOKUP( $A255, Aop!$A$2:$P$456, 4, 0)</f>
        <v>324</v>
      </c>
      <c r="I255" s="57">
        <f t="shared" ca="1" si="37"/>
        <v>2022</v>
      </c>
      <c r="J255" s="57"/>
      <c r="K255" s="57"/>
      <c r="L255" s="57"/>
      <c r="M255" s="57" t="str">
        <f t="shared" ca="1" si="33"/>
        <v/>
      </c>
      <c r="N255" s="57">
        <f t="shared" ca="1" si="34"/>
        <v>56</v>
      </c>
    </row>
    <row r="256" spans="1:14">
      <c r="A256" s="105">
        <v>263</v>
      </c>
      <c r="B256" s="105" t="str">
        <f ca="1">VLOOKUP( $A256, Aop!$A$2:$P$456, 2, 0)</f>
        <v>BUb</v>
      </c>
      <c r="C256" s="57">
        <f t="shared" ca="1" si="38"/>
        <v>2</v>
      </c>
      <c r="D256" s="57" t="str">
        <f t="shared" ca="1" si="35"/>
        <v>01111329</v>
      </c>
      <c r="E256" s="57" t="str">
        <f t="shared" ca="1" si="36"/>
        <v>4400692320002</v>
      </c>
      <c r="F256" s="57" t="b">
        <f t="shared" ca="1" si="39"/>
        <v>0</v>
      </c>
      <c r="G256" s="140">
        <f t="shared" ca="1" si="40"/>
        <v>44742</v>
      </c>
      <c r="H256" s="105">
        <f ca="1">VLOOKUP( $A256, Aop!$A$2:$P$456, 4, 0)</f>
        <v>400</v>
      </c>
      <c r="I256" s="57">
        <f t="shared" ca="1" si="37"/>
        <v>2022</v>
      </c>
      <c r="J256" s="57"/>
      <c r="K256" s="57"/>
      <c r="L256" s="57"/>
      <c r="M256" s="57" t="str">
        <f t="shared" ca="1" si="33"/>
        <v/>
      </c>
      <c r="N256" s="57">
        <f t="shared" ca="1" si="34"/>
        <v>16300914</v>
      </c>
    </row>
    <row r="257" spans="1:14">
      <c r="A257" s="105">
        <v>264</v>
      </c>
      <c r="B257" s="105" t="str">
        <f ca="1">VLOOKUP( $A257, Aop!$A$2:$P$456, 2, 0)</f>
        <v>BUb</v>
      </c>
      <c r="C257" s="57">
        <f t="shared" ca="1" si="38"/>
        <v>2</v>
      </c>
      <c r="D257" s="57" t="str">
        <f t="shared" ca="1" si="35"/>
        <v>01111329</v>
      </c>
      <c r="E257" s="57" t="str">
        <f t="shared" ca="1" si="36"/>
        <v>4400692320002</v>
      </c>
      <c r="F257" s="57" t="b">
        <f t="shared" ca="1" si="39"/>
        <v>0</v>
      </c>
      <c r="G257" s="140">
        <f t="shared" ca="1" si="40"/>
        <v>44742</v>
      </c>
      <c r="H257" s="105">
        <f ca="1">VLOOKUP( $A257, Aop!$A$2:$P$456, 4, 0)</f>
        <v>401</v>
      </c>
      <c r="I257" s="57">
        <f t="shared" ca="1" si="37"/>
        <v>2022</v>
      </c>
      <c r="J257" s="57"/>
      <c r="K257" s="57"/>
      <c r="L257" s="57"/>
      <c r="M257" s="57" t="str">
        <f t="shared" ca="1" si="33"/>
        <v/>
      </c>
      <c r="N257" s="57">
        <f t="shared" ca="1" si="34"/>
        <v>0</v>
      </c>
    </row>
    <row r="258" spans="1:14">
      <c r="A258" s="105">
        <v>265</v>
      </c>
      <c r="B258" s="105" t="str">
        <f ca="1">VLOOKUP( $A258, Aop!$A$2:$P$456, 2, 0)</f>
        <v>BUb</v>
      </c>
      <c r="C258" s="57">
        <f t="shared" ca="1" si="38"/>
        <v>2</v>
      </c>
      <c r="D258" s="57" t="str">
        <f t="shared" ca="1" si="35"/>
        <v>01111329</v>
      </c>
      <c r="E258" s="57" t="str">
        <f t="shared" ca="1" si="36"/>
        <v>4400692320002</v>
      </c>
      <c r="F258" s="57" t="b">
        <f t="shared" ca="1" si="39"/>
        <v>0</v>
      </c>
      <c r="G258" s="140">
        <f t="shared" ca="1" si="40"/>
        <v>44742</v>
      </c>
      <c r="H258" s="105">
        <f ca="1">VLOOKUP( $A258, Aop!$A$2:$P$456, 4, 0)</f>
        <v>402</v>
      </c>
      <c r="I258" s="57">
        <f t="shared" ca="1" si="37"/>
        <v>2022</v>
      </c>
      <c r="J258" s="57"/>
      <c r="K258" s="57"/>
      <c r="L258" s="57"/>
      <c r="M258" s="57" t="str">
        <f t="shared" ca="1" si="33"/>
        <v/>
      </c>
      <c r="N258" s="57" t="str">
        <f t="shared" ca="1" si="34"/>
        <v/>
      </c>
    </row>
    <row r="259" spans="1:14">
      <c r="A259" s="105">
        <v>266</v>
      </c>
      <c r="B259" s="105" t="str">
        <f ca="1">VLOOKUP( $A259, Aop!$A$2:$P$456, 2, 0)</f>
        <v>BUb</v>
      </c>
      <c r="C259" s="57">
        <f t="shared" ca="1" si="38"/>
        <v>2</v>
      </c>
      <c r="D259" s="57" t="str">
        <f t="shared" ca="1" si="35"/>
        <v>01111329</v>
      </c>
      <c r="E259" s="57" t="str">
        <f t="shared" ca="1" si="36"/>
        <v>4400692320002</v>
      </c>
      <c r="F259" s="57" t="b">
        <f t="shared" ca="1" si="39"/>
        <v>0</v>
      </c>
      <c r="G259" s="140">
        <f t="shared" ca="1" si="40"/>
        <v>44742</v>
      </c>
      <c r="H259" s="105">
        <f ca="1">VLOOKUP( $A259, Aop!$A$2:$P$456, 4, 0)</f>
        <v>403</v>
      </c>
      <c r="I259" s="57">
        <f t="shared" ca="1" si="37"/>
        <v>2022</v>
      </c>
      <c r="J259" s="57"/>
      <c r="K259" s="57"/>
      <c r="L259" s="57"/>
      <c r="M259" s="57" t="str">
        <f t="shared" ref="M259:M322" ca="1" si="41">IF( VLOOKUP( $H259, INDIRECT( "Lookup_" &amp; $B259), IF( LEFT( $B259, 2) = "BS", S$2, S$1), 0) = "", "", VLOOKUP( $H259, INDIRECT( "Lookup_" &amp; $B259), IF( LEFT( $B259, 2) = "BS", S$2, S$1), 0))</f>
        <v/>
      </c>
      <c r="N259" s="57" t="str">
        <f t="shared" ref="N259:N322" ca="1" si="42">IF( VLOOKUP( $H259, INDIRECT( "Lookup_" &amp; $B259), IF( LEFT( $B259, 2) = "BS", T$2, T$1), 0) = "", "", VLOOKUP( $H259, INDIRECT( "Lookup_" &amp; $B259), IF( LEFT( $B259, 2) = "BS", T$2, T$1), 0))</f>
        <v/>
      </c>
    </row>
    <row r="260" spans="1:14">
      <c r="A260" s="105">
        <v>267</v>
      </c>
      <c r="B260" s="105" t="str">
        <f ca="1">VLOOKUP( $A260, Aop!$A$2:$P$456, 2, 0)</f>
        <v>BUb</v>
      </c>
      <c r="C260" s="57">
        <f t="shared" ca="1" si="38"/>
        <v>2</v>
      </c>
      <c r="D260" s="57" t="str">
        <f t="shared" ca="1" si="35"/>
        <v>01111329</v>
      </c>
      <c r="E260" s="57" t="str">
        <f t="shared" ca="1" si="36"/>
        <v>4400692320002</v>
      </c>
      <c r="F260" s="57" t="b">
        <f t="shared" ca="1" si="39"/>
        <v>0</v>
      </c>
      <c r="G260" s="140">
        <f t="shared" ca="1" si="40"/>
        <v>44742</v>
      </c>
      <c r="H260" s="105">
        <f ca="1">VLOOKUP( $A260, Aop!$A$2:$P$456, 4, 0)</f>
        <v>404</v>
      </c>
      <c r="I260" s="57">
        <f t="shared" ca="1" si="37"/>
        <v>2022</v>
      </c>
      <c r="J260" s="57"/>
      <c r="K260" s="57"/>
      <c r="L260" s="57"/>
      <c r="M260" s="57" t="str">
        <f t="shared" ca="1" si="41"/>
        <v/>
      </c>
      <c r="N260" s="57" t="str">
        <f t="shared" ca="1" si="42"/>
        <v/>
      </c>
    </row>
    <row r="261" spans="1:14">
      <c r="A261" s="105">
        <v>269</v>
      </c>
      <c r="B261" s="105" t="str">
        <f ca="1">VLOOKUP( $A261, Aop!$A$2:$P$456, 2, 0)</f>
        <v>BUb</v>
      </c>
      <c r="C261" s="57">
        <f t="shared" ca="1" si="38"/>
        <v>2</v>
      </c>
      <c r="D261" s="57" t="str">
        <f t="shared" ca="1" si="35"/>
        <v>01111329</v>
      </c>
      <c r="E261" s="57" t="str">
        <f t="shared" ca="1" si="36"/>
        <v>4400692320002</v>
      </c>
      <c r="F261" s="57" t="b">
        <f t="shared" ca="1" si="39"/>
        <v>0</v>
      </c>
      <c r="G261" s="140">
        <f t="shared" ca="1" si="40"/>
        <v>44742</v>
      </c>
      <c r="H261" s="105">
        <f ca="1">VLOOKUP( $A261, Aop!$A$2:$P$456, 4, 0)</f>
        <v>406</v>
      </c>
      <c r="I261" s="57">
        <f t="shared" ca="1" si="37"/>
        <v>2022</v>
      </c>
      <c r="J261" s="57"/>
      <c r="K261" s="57"/>
      <c r="L261" s="57"/>
      <c r="M261" s="57" t="str">
        <f t="shared" ca="1" si="41"/>
        <v/>
      </c>
      <c r="N261" s="57" t="str">
        <f t="shared" ca="1" si="42"/>
        <v/>
      </c>
    </row>
    <row r="262" spans="1:14">
      <c r="A262" s="105">
        <v>270</v>
      </c>
      <c r="B262" s="105" t="str">
        <f ca="1">VLOOKUP( $A262, Aop!$A$2:$P$456, 2, 0)</f>
        <v>BUb</v>
      </c>
      <c r="C262" s="57">
        <f t="shared" ca="1" si="38"/>
        <v>2</v>
      </c>
      <c r="D262" s="57" t="str">
        <f t="shared" ca="1" si="35"/>
        <v>01111329</v>
      </c>
      <c r="E262" s="57" t="str">
        <f t="shared" ca="1" si="36"/>
        <v>4400692320002</v>
      </c>
      <c r="F262" s="57" t="b">
        <f t="shared" ca="1" si="39"/>
        <v>0</v>
      </c>
      <c r="G262" s="140">
        <f t="shared" ca="1" si="40"/>
        <v>44742</v>
      </c>
      <c r="H262" s="105">
        <f ca="1">VLOOKUP( $A262, Aop!$A$2:$P$456, 4, 0)</f>
        <v>407</v>
      </c>
      <c r="I262" s="57">
        <f t="shared" ca="1" si="37"/>
        <v>2022</v>
      </c>
      <c r="J262" s="57"/>
      <c r="K262" s="57"/>
      <c r="L262" s="57"/>
      <c r="M262" s="57" t="str">
        <f t="shared" ca="1" si="41"/>
        <v/>
      </c>
      <c r="N262" s="57" t="str">
        <f t="shared" ca="1" si="42"/>
        <v/>
      </c>
    </row>
    <row r="263" spans="1:14">
      <c r="A263" s="105">
        <v>272</v>
      </c>
      <c r="B263" s="105" t="str">
        <f ca="1">VLOOKUP( $A263, Aop!$A$2:$P$456, 2, 0)</f>
        <v>BUb</v>
      </c>
      <c r="C263" s="57">
        <f t="shared" ca="1" si="38"/>
        <v>2</v>
      </c>
      <c r="D263" s="57" t="str">
        <f t="shared" ca="1" si="35"/>
        <v>01111329</v>
      </c>
      <c r="E263" s="57" t="str">
        <f t="shared" ca="1" si="36"/>
        <v>4400692320002</v>
      </c>
      <c r="F263" s="57" t="b">
        <f t="shared" ca="1" si="39"/>
        <v>0</v>
      </c>
      <c r="G263" s="140">
        <f t="shared" ca="1" si="40"/>
        <v>44742</v>
      </c>
      <c r="H263" s="105">
        <f ca="1">VLOOKUP( $A263, Aop!$A$2:$P$456, 4, 0)</f>
        <v>409</v>
      </c>
      <c r="I263" s="57">
        <f t="shared" ca="1" si="37"/>
        <v>2022</v>
      </c>
      <c r="J263" s="57"/>
      <c r="K263" s="57"/>
      <c r="L263" s="57"/>
      <c r="M263" s="57" t="str">
        <f t="shared" ca="1" si="41"/>
        <v/>
      </c>
      <c r="N263" s="57" t="str">
        <f t="shared" ca="1" si="42"/>
        <v/>
      </c>
    </row>
    <row r="264" spans="1:14">
      <c r="A264" s="105">
        <v>273</v>
      </c>
      <c r="B264" s="105" t="str">
        <f ca="1">VLOOKUP( $A264, Aop!$A$2:$P$456, 2, 0)</f>
        <v>BUb</v>
      </c>
      <c r="C264" s="57">
        <f t="shared" ca="1" si="38"/>
        <v>2</v>
      </c>
      <c r="D264" s="57" t="str">
        <f t="shared" ca="1" si="35"/>
        <v>01111329</v>
      </c>
      <c r="E264" s="57" t="str">
        <f t="shared" ca="1" si="36"/>
        <v>4400692320002</v>
      </c>
      <c r="F264" s="57" t="b">
        <f t="shared" ca="1" si="39"/>
        <v>0</v>
      </c>
      <c r="G264" s="140">
        <f t="shared" ca="1" si="40"/>
        <v>44742</v>
      </c>
      <c r="H264" s="105">
        <f ca="1">VLOOKUP( $A264, Aop!$A$2:$P$456, 4, 0)</f>
        <v>410</v>
      </c>
      <c r="I264" s="57">
        <f t="shared" ca="1" si="37"/>
        <v>2022</v>
      </c>
      <c r="J264" s="57"/>
      <c r="K264" s="57"/>
      <c r="L264" s="57"/>
      <c r="M264" s="57" t="str">
        <f t="shared" ca="1" si="41"/>
        <v/>
      </c>
      <c r="N264" s="57" t="str">
        <f t="shared" ca="1" si="42"/>
        <v/>
      </c>
    </row>
    <row r="265" spans="1:14">
      <c r="A265" s="105">
        <v>274</v>
      </c>
      <c r="B265" s="105" t="str">
        <f ca="1">VLOOKUP( $A265, Aop!$A$2:$P$456, 2, 0)</f>
        <v>BUb</v>
      </c>
      <c r="C265" s="57">
        <f t="shared" ca="1" si="38"/>
        <v>2</v>
      </c>
      <c r="D265" s="57" t="str">
        <f t="shared" ca="1" si="35"/>
        <v>01111329</v>
      </c>
      <c r="E265" s="57" t="str">
        <f t="shared" ca="1" si="36"/>
        <v>4400692320002</v>
      </c>
      <c r="F265" s="57" t="b">
        <f t="shared" ca="1" si="39"/>
        <v>0</v>
      </c>
      <c r="G265" s="140">
        <f t="shared" ca="1" si="40"/>
        <v>44742</v>
      </c>
      <c r="H265" s="105">
        <f ca="1">VLOOKUP( $A265, Aop!$A$2:$P$456, 4, 0)</f>
        <v>411</v>
      </c>
      <c r="I265" s="57">
        <f t="shared" ca="1" si="37"/>
        <v>2022</v>
      </c>
      <c r="J265" s="57"/>
      <c r="K265" s="57"/>
      <c r="L265" s="57"/>
      <c r="M265" s="57" t="str">
        <f t="shared" ca="1" si="41"/>
        <v/>
      </c>
      <c r="N265" s="57" t="str">
        <f t="shared" ca="1" si="42"/>
        <v/>
      </c>
    </row>
    <row r="266" spans="1:14">
      <c r="A266" s="105">
        <v>275</v>
      </c>
      <c r="B266" s="105" t="str">
        <f ca="1">VLOOKUP( $A266, Aop!$A$2:$P$456, 2, 0)</f>
        <v>BUb</v>
      </c>
      <c r="C266" s="57">
        <f t="shared" ca="1" si="38"/>
        <v>2</v>
      </c>
      <c r="D266" s="57" t="str">
        <f t="shared" ca="1" si="35"/>
        <v>01111329</v>
      </c>
      <c r="E266" s="57" t="str">
        <f t="shared" ca="1" si="36"/>
        <v>4400692320002</v>
      </c>
      <c r="F266" s="57" t="b">
        <f t="shared" ca="1" si="39"/>
        <v>0</v>
      </c>
      <c r="G266" s="140">
        <f t="shared" ca="1" si="40"/>
        <v>44742</v>
      </c>
      <c r="H266" s="105">
        <f ca="1">VLOOKUP( $A266, Aop!$A$2:$P$456, 4, 0)</f>
        <v>412</v>
      </c>
      <c r="I266" s="57">
        <f t="shared" ca="1" si="37"/>
        <v>2022</v>
      </c>
      <c r="J266" s="57"/>
      <c r="K266" s="57"/>
      <c r="L266" s="57"/>
      <c r="M266" s="57" t="str">
        <f t="shared" ca="1" si="41"/>
        <v/>
      </c>
      <c r="N266" s="57" t="str">
        <f t="shared" ca="1" si="42"/>
        <v/>
      </c>
    </row>
    <row r="267" spans="1:14">
      <c r="A267" s="105">
        <v>276</v>
      </c>
      <c r="B267" s="105" t="str">
        <f ca="1">VLOOKUP( $A267, Aop!$A$2:$P$456, 2, 0)</f>
        <v>BUb</v>
      </c>
      <c r="C267" s="57">
        <f t="shared" ca="1" si="38"/>
        <v>2</v>
      </c>
      <c r="D267" s="57" t="str">
        <f t="shared" ca="1" si="35"/>
        <v>01111329</v>
      </c>
      <c r="E267" s="57" t="str">
        <f t="shared" ca="1" si="36"/>
        <v>4400692320002</v>
      </c>
      <c r="F267" s="57" t="b">
        <f t="shared" ca="1" si="39"/>
        <v>0</v>
      </c>
      <c r="G267" s="140">
        <f t="shared" ca="1" si="40"/>
        <v>44742</v>
      </c>
      <c r="H267" s="105">
        <f ca="1">VLOOKUP( $A267, Aop!$A$2:$P$456, 4, 0)</f>
        <v>413</v>
      </c>
      <c r="I267" s="57">
        <f t="shared" ca="1" si="37"/>
        <v>2022</v>
      </c>
      <c r="J267" s="57"/>
      <c r="K267" s="57"/>
      <c r="L267" s="57"/>
      <c r="M267" s="57" t="str">
        <f t="shared" ca="1" si="41"/>
        <v/>
      </c>
      <c r="N267" s="57" t="str">
        <f t="shared" ca="1" si="42"/>
        <v/>
      </c>
    </row>
    <row r="268" spans="1:14">
      <c r="A268" s="105">
        <v>277</v>
      </c>
      <c r="B268" s="105" t="str">
        <f ca="1">VLOOKUP( $A268, Aop!$A$2:$P$456, 2, 0)</f>
        <v>BUb</v>
      </c>
      <c r="C268" s="57">
        <f t="shared" ca="1" si="38"/>
        <v>2</v>
      </c>
      <c r="D268" s="57" t="str">
        <f t="shared" ca="1" si="35"/>
        <v>01111329</v>
      </c>
      <c r="E268" s="57" t="str">
        <f t="shared" ca="1" si="36"/>
        <v>4400692320002</v>
      </c>
      <c r="F268" s="57" t="b">
        <f t="shared" ca="1" si="39"/>
        <v>0</v>
      </c>
      <c r="G268" s="140">
        <f t="shared" ca="1" si="40"/>
        <v>44742</v>
      </c>
      <c r="H268" s="105">
        <f ca="1">VLOOKUP( $A268, Aop!$A$2:$P$456, 4, 0)</f>
        <v>414</v>
      </c>
      <c r="I268" s="57">
        <f t="shared" ca="1" si="37"/>
        <v>2022</v>
      </c>
      <c r="J268" s="57"/>
      <c r="K268" s="57"/>
      <c r="L268" s="57"/>
      <c r="M268" s="57" t="str">
        <f t="shared" ca="1" si="41"/>
        <v/>
      </c>
      <c r="N268" s="57" t="str">
        <f t="shared" ca="1" si="42"/>
        <v/>
      </c>
    </row>
    <row r="269" spans="1:14">
      <c r="A269" s="105">
        <v>278</v>
      </c>
      <c r="B269" s="105" t="str">
        <f ca="1">VLOOKUP( $A269, Aop!$A$2:$P$456, 2, 0)</f>
        <v>BUb</v>
      </c>
      <c r="C269" s="57">
        <f t="shared" ca="1" si="38"/>
        <v>2</v>
      </c>
      <c r="D269" s="57" t="str">
        <f t="shared" ca="1" si="35"/>
        <v>01111329</v>
      </c>
      <c r="E269" s="57" t="str">
        <f t="shared" ca="1" si="36"/>
        <v>4400692320002</v>
      </c>
      <c r="F269" s="57" t="b">
        <f t="shared" ca="1" si="39"/>
        <v>0</v>
      </c>
      <c r="G269" s="140">
        <f t="shared" ca="1" si="40"/>
        <v>44742</v>
      </c>
      <c r="H269" s="105">
        <f ca="1">VLOOKUP( $A269, Aop!$A$2:$P$456, 4, 0)</f>
        <v>415</v>
      </c>
      <c r="I269" s="57">
        <f t="shared" ca="1" si="37"/>
        <v>2022</v>
      </c>
      <c r="J269" s="57"/>
      <c r="K269" s="57"/>
      <c r="L269" s="57"/>
      <c r="M269" s="57" t="str">
        <f t="shared" ca="1" si="41"/>
        <v/>
      </c>
      <c r="N269" s="57">
        <f t="shared" ca="1" si="42"/>
        <v>0</v>
      </c>
    </row>
    <row r="270" spans="1:14">
      <c r="A270" s="105">
        <v>279</v>
      </c>
      <c r="B270" s="105" t="str">
        <f ca="1">VLOOKUP( $A270, Aop!$A$2:$P$456, 2, 0)</f>
        <v>BUb</v>
      </c>
      <c r="C270" s="57">
        <f t="shared" ca="1" si="38"/>
        <v>2</v>
      </c>
      <c r="D270" s="57" t="str">
        <f t="shared" ca="1" si="35"/>
        <v>01111329</v>
      </c>
      <c r="E270" s="57" t="str">
        <f t="shared" ca="1" si="36"/>
        <v>4400692320002</v>
      </c>
      <c r="F270" s="57" t="b">
        <f t="shared" ca="1" si="39"/>
        <v>0</v>
      </c>
      <c r="G270" s="140">
        <f t="shared" ca="1" si="40"/>
        <v>44742</v>
      </c>
      <c r="H270" s="105">
        <f ca="1">VLOOKUP( $A270, Aop!$A$2:$P$456, 4, 0)</f>
        <v>0</v>
      </c>
      <c r="I270" s="57">
        <f t="shared" ca="1" si="37"/>
        <v>2022</v>
      </c>
      <c r="J270" s="57"/>
      <c r="K270" s="57"/>
      <c r="L270" s="57"/>
      <c r="M270" s="57" t="str">
        <f t="shared" ca="1" si="41"/>
        <v/>
      </c>
      <c r="N270" s="57" t="str">
        <f t="shared" ca="1" si="42"/>
        <v/>
      </c>
    </row>
    <row r="271" spans="1:14">
      <c r="A271" s="105">
        <v>280</v>
      </c>
      <c r="B271" s="105" t="str">
        <f ca="1">VLOOKUP( $A271, Aop!$A$2:$P$456, 2, 0)</f>
        <v>BUb</v>
      </c>
      <c r="C271" s="57">
        <f t="shared" ca="1" si="38"/>
        <v>2</v>
      </c>
      <c r="D271" s="57" t="str">
        <f t="shared" ca="1" si="35"/>
        <v>01111329</v>
      </c>
      <c r="E271" s="57" t="str">
        <f t="shared" ca="1" si="36"/>
        <v>4400692320002</v>
      </c>
      <c r="F271" s="57" t="b">
        <f t="shared" ca="1" si="39"/>
        <v>0</v>
      </c>
      <c r="G271" s="140">
        <f t="shared" ca="1" si="40"/>
        <v>44742</v>
      </c>
      <c r="H271" s="105">
        <f ca="1">VLOOKUP( $A271, Aop!$A$2:$P$456, 4, 0)</f>
        <v>416</v>
      </c>
      <c r="I271" s="57">
        <f t="shared" ca="1" si="37"/>
        <v>2022</v>
      </c>
      <c r="J271" s="57"/>
      <c r="K271" s="57"/>
      <c r="L271" s="57"/>
      <c r="M271" s="57" t="str">
        <f t="shared" ca="1" si="41"/>
        <v/>
      </c>
      <c r="N271" s="57">
        <f t="shared" ca="1" si="42"/>
        <v>16300914</v>
      </c>
    </row>
    <row r="272" spans="1:14">
      <c r="A272" s="105">
        <v>281</v>
      </c>
      <c r="B272" s="105" t="str">
        <f ca="1">VLOOKUP( $A272, Aop!$A$2:$P$456, 2, 0)</f>
        <v>BUb</v>
      </c>
      <c r="C272" s="57">
        <f t="shared" ca="1" si="38"/>
        <v>2</v>
      </c>
      <c r="D272" s="57" t="str">
        <f t="shared" ca="1" si="35"/>
        <v>01111329</v>
      </c>
      <c r="E272" s="57" t="str">
        <f t="shared" ca="1" si="36"/>
        <v>4400692320002</v>
      </c>
      <c r="F272" s="57" t="b">
        <f t="shared" ca="1" si="39"/>
        <v>0</v>
      </c>
      <c r="G272" s="140">
        <f t="shared" ca="1" si="40"/>
        <v>44742</v>
      </c>
      <c r="H272" s="105">
        <f ca="1">VLOOKUP( $A272, Aop!$A$2:$P$456, 4, 0)</f>
        <v>0</v>
      </c>
      <c r="I272" s="57">
        <f t="shared" ca="1" si="37"/>
        <v>2022</v>
      </c>
      <c r="J272" s="57"/>
      <c r="K272" s="57"/>
      <c r="L272" s="57"/>
      <c r="M272" s="57" t="str">
        <f t="shared" ca="1" si="41"/>
        <v/>
      </c>
      <c r="N272" s="57" t="str">
        <f t="shared" ca="1" si="42"/>
        <v/>
      </c>
    </row>
    <row r="273" spans="1:14">
      <c r="A273" s="105">
        <v>282</v>
      </c>
      <c r="B273" s="57" t="str">
        <f ca="1">VLOOKUP( $A273, Aop!$A$2:$P$456, 2, 0)</f>
        <v>BUb</v>
      </c>
      <c r="C273" s="57">
        <f ca="1">ID_Izvjestaj</f>
        <v>2</v>
      </c>
      <c r="D273" s="57" t="str">
        <f ca="1">Podatak_MB</f>
        <v>01111329</v>
      </c>
      <c r="E273" s="57" t="str">
        <f ca="1">Podatak_JIB</f>
        <v>4400692320002</v>
      </c>
      <c r="F273" s="57" t="b">
        <f ca="1">Konsolidovan_izvjestaj</f>
        <v>0</v>
      </c>
      <c r="G273" s="140">
        <f ca="1">Datum_Broj</f>
        <v>44742</v>
      </c>
      <c r="H273" s="57">
        <f ca="1">VLOOKUP( $A273, Aop!$A$2:$P$456, 4, 0)</f>
        <v>417</v>
      </c>
      <c r="I273" s="57">
        <f ca="1">Godina</f>
        <v>2022</v>
      </c>
      <c r="J273" s="57"/>
      <c r="K273" s="57"/>
      <c r="L273" s="57"/>
      <c r="M273" s="57" t="str">
        <f t="shared" ca="1" si="41"/>
        <v/>
      </c>
      <c r="N273" s="57" t="str">
        <f t="shared" ca="1" si="42"/>
        <v/>
      </c>
    </row>
    <row r="274" spans="1:14">
      <c r="A274" s="105">
        <v>283</v>
      </c>
      <c r="B274" s="105" t="str">
        <f ca="1">VLOOKUP( $A274, Aop!$A$2:$P$456, 2, 0)</f>
        <v>BUb</v>
      </c>
      <c r="C274" s="57">
        <f t="shared" ca="1" si="38"/>
        <v>2</v>
      </c>
      <c r="D274" s="57" t="str">
        <f t="shared" ca="1" si="35"/>
        <v>01111329</v>
      </c>
      <c r="E274" s="57" t="str">
        <f t="shared" ca="1" si="36"/>
        <v>4400692320002</v>
      </c>
      <c r="F274" s="57" t="b">
        <f t="shared" ca="1" si="39"/>
        <v>0</v>
      </c>
      <c r="G274" s="140">
        <f t="shared" ca="1" si="40"/>
        <v>44742</v>
      </c>
      <c r="H274" s="105">
        <f ca="1">VLOOKUP( $A274, Aop!$A$2:$P$456, 4, 0)</f>
        <v>418</v>
      </c>
      <c r="I274" s="57">
        <f t="shared" ca="1" si="37"/>
        <v>2022</v>
      </c>
      <c r="J274" s="57"/>
      <c r="K274" s="57"/>
      <c r="L274" s="57"/>
      <c r="M274" s="57" t="str">
        <f t="shared" ca="1" si="41"/>
        <v/>
      </c>
      <c r="N274" s="57" t="str">
        <f t="shared" ca="1" si="42"/>
        <v/>
      </c>
    </row>
    <row r="275" spans="1:14">
      <c r="A275" s="105">
        <v>285</v>
      </c>
      <c r="B275" s="105" t="str">
        <f ca="1">VLOOKUP( $A275, Aop!$A$2:$P$456, 2, 0)</f>
        <v>BTG</v>
      </c>
      <c r="C275" s="57">
        <f t="shared" ca="1" si="38"/>
        <v>2</v>
      </c>
      <c r="D275" s="57" t="str">
        <f t="shared" ca="1" si="35"/>
        <v>01111329</v>
      </c>
      <c r="E275" s="57" t="str">
        <f t="shared" ca="1" si="36"/>
        <v>4400692320002</v>
      </c>
      <c r="F275" s="57" t="b">
        <f t="shared" ca="1" si="39"/>
        <v>0</v>
      </c>
      <c r="G275" s="140">
        <f t="shared" ca="1" si="40"/>
        <v>44742</v>
      </c>
      <c r="H275" s="105">
        <f ca="1">VLOOKUP( $A275, Aop!$A$2:$P$456, 4, 0)</f>
        <v>502</v>
      </c>
      <c r="I275" s="57">
        <f t="shared" ca="1" si="37"/>
        <v>2022</v>
      </c>
      <c r="J275" s="57"/>
      <c r="K275" s="57"/>
      <c r="L275" s="57"/>
      <c r="M275" s="57" t="str">
        <f t="shared" ca="1" si="41"/>
        <v/>
      </c>
      <c r="N275" s="57">
        <f t="shared" ca="1" si="42"/>
        <v>1472014</v>
      </c>
    </row>
    <row r="276" spans="1:14">
      <c r="A276" s="105">
        <v>286</v>
      </c>
      <c r="B276" s="105" t="str">
        <f ca="1">VLOOKUP( $A276, Aop!$A$2:$P$456, 2, 0)</f>
        <v>BTG</v>
      </c>
      <c r="C276" s="57">
        <f t="shared" ca="1" si="38"/>
        <v>2</v>
      </c>
      <c r="D276" s="57" t="str">
        <f t="shared" ca="1" si="35"/>
        <v>01111329</v>
      </c>
      <c r="E276" s="57" t="str">
        <f t="shared" ca="1" si="36"/>
        <v>4400692320002</v>
      </c>
      <c r="F276" s="57" t="b">
        <f t="shared" ca="1" si="39"/>
        <v>0</v>
      </c>
      <c r="G276" s="140">
        <f t="shared" ca="1" si="40"/>
        <v>44742</v>
      </c>
      <c r="H276" s="105">
        <f ca="1">VLOOKUP( $A276, Aop!$A$2:$P$456, 4, 0)</f>
        <v>503</v>
      </c>
      <c r="I276" s="57">
        <f t="shared" ca="1" si="37"/>
        <v>2022</v>
      </c>
      <c r="J276" s="57"/>
      <c r="K276" s="57"/>
      <c r="L276" s="57"/>
      <c r="M276" s="57" t="str">
        <f t="shared" ca="1" si="41"/>
        <v/>
      </c>
      <c r="N276" s="57" t="str">
        <f t="shared" ca="1" si="42"/>
        <v/>
      </c>
    </row>
    <row r="277" spans="1:14">
      <c r="A277" s="105">
        <v>287</v>
      </c>
      <c r="B277" s="105" t="str">
        <f ca="1">VLOOKUP( $A277, Aop!$A$2:$P$456, 2, 0)</f>
        <v>BTG</v>
      </c>
      <c r="C277" s="57">
        <f t="shared" ca="1" si="38"/>
        <v>2</v>
      </c>
      <c r="D277" s="57" t="str">
        <f t="shared" ca="1" si="35"/>
        <v>01111329</v>
      </c>
      <c r="E277" s="57" t="str">
        <f t="shared" ca="1" si="36"/>
        <v>4400692320002</v>
      </c>
      <c r="F277" s="57" t="b">
        <f t="shared" ca="1" si="39"/>
        <v>0</v>
      </c>
      <c r="G277" s="140">
        <f t="shared" ca="1" si="40"/>
        <v>44742</v>
      </c>
      <c r="H277" s="105">
        <f ca="1">VLOOKUP( $A277, Aop!$A$2:$P$456, 4, 0)</f>
        <v>504</v>
      </c>
      <c r="I277" s="57">
        <f t="shared" ca="1" si="37"/>
        <v>2022</v>
      </c>
      <c r="J277" s="57"/>
      <c r="K277" s="57"/>
      <c r="L277" s="57"/>
      <c r="M277" s="57" t="str">
        <f t="shared" ca="1" si="41"/>
        <v/>
      </c>
      <c r="N277" s="57" t="str">
        <f t="shared" ca="1" si="42"/>
        <v/>
      </c>
    </row>
    <row r="278" spans="1:14">
      <c r="A278" s="105">
        <v>288</v>
      </c>
      <c r="B278" s="105" t="str">
        <f ca="1">VLOOKUP( $A278, Aop!$A$2:$P$456, 2, 0)</f>
        <v>BTG</v>
      </c>
      <c r="C278" s="57">
        <f t="shared" ca="1" si="38"/>
        <v>2</v>
      </c>
      <c r="D278" s="57" t="str">
        <f t="shared" ca="1" si="35"/>
        <v>01111329</v>
      </c>
      <c r="E278" s="57" t="str">
        <f t="shared" ca="1" si="36"/>
        <v>4400692320002</v>
      </c>
      <c r="F278" s="57" t="b">
        <f t="shared" ca="1" si="39"/>
        <v>0</v>
      </c>
      <c r="G278" s="140">
        <f t="shared" ca="1" si="40"/>
        <v>44742</v>
      </c>
      <c r="H278" s="105">
        <f ca="1">VLOOKUP( $A278, Aop!$A$2:$P$456, 4, 0)</f>
        <v>505</v>
      </c>
      <c r="I278" s="57">
        <f t="shared" ca="1" si="37"/>
        <v>2022</v>
      </c>
      <c r="J278" s="57"/>
      <c r="K278" s="57"/>
      <c r="L278" s="57"/>
      <c r="M278" s="57" t="str">
        <f t="shared" ca="1" si="41"/>
        <v/>
      </c>
      <c r="N278" s="57">
        <f t="shared" ca="1" si="42"/>
        <v>50152</v>
      </c>
    </row>
    <row r="279" spans="1:14">
      <c r="A279" s="105">
        <v>289</v>
      </c>
      <c r="B279" s="105" t="str">
        <f ca="1">VLOOKUP( $A279, Aop!$A$2:$P$456, 2, 0)</f>
        <v>BTG</v>
      </c>
      <c r="C279" s="57">
        <f t="shared" ca="1" si="38"/>
        <v>2</v>
      </c>
      <c r="D279" s="57" t="str">
        <f t="shared" ca="1" si="35"/>
        <v>01111329</v>
      </c>
      <c r="E279" s="57" t="str">
        <f t="shared" ca="1" si="36"/>
        <v>4400692320002</v>
      </c>
      <c r="F279" s="57" t="b">
        <f t="shared" ca="1" si="39"/>
        <v>0</v>
      </c>
      <c r="G279" s="140">
        <f t="shared" ca="1" si="40"/>
        <v>44742</v>
      </c>
      <c r="H279" s="105">
        <f ca="1">VLOOKUP( $A279, Aop!$A$2:$P$456, 4, 0)</f>
        <v>506</v>
      </c>
      <c r="I279" s="57">
        <f t="shared" ca="1" si="37"/>
        <v>2022</v>
      </c>
      <c r="J279" s="57"/>
      <c r="K279" s="57"/>
      <c r="L279" s="57"/>
      <c r="M279" s="57" t="str">
        <f t="shared" ca="1" si="41"/>
        <v/>
      </c>
      <c r="N279" s="57">
        <f t="shared" ca="1" si="42"/>
        <v>2036293</v>
      </c>
    </row>
    <row r="280" spans="1:14">
      <c r="A280" s="105">
        <v>290</v>
      </c>
      <c r="B280" s="105" t="str">
        <f ca="1">VLOOKUP( $A280, Aop!$A$2:$P$456, 2, 0)</f>
        <v>BTG</v>
      </c>
      <c r="C280" s="57">
        <f t="shared" ca="1" si="38"/>
        <v>2</v>
      </c>
      <c r="D280" s="57" t="str">
        <f t="shared" ca="1" si="35"/>
        <v>01111329</v>
      </c>
      <c r="E280" s="57" t="str">
        <f t="shared" ca="1" si="36"/>
        <v>4400692320002</v>
      </c>
      <c r="F280" s="57" t="b">
        <f t="shared" ca="1" si="39"/>
        <v>0</v>
      </c>
      <c r="G280" s="140">
        <f t="shared" ca="1" si="40"/>
        <v>44742</v>
      </c>
      <c r="H280" s="105">
        <f ca="1">VLOOKUP( $A280, Aop!$A$2:$P$456, 4, 0)</f>
        <v>507</v>
      </c>
      <c r="I280" s="57">
        <f t="shared" ca="1" si="37"/>
        <v>2022</v>
      </c>
      <c r="J280" s="57"/>
      <c r="K280" s="57"/>
      <c r="L280" s="57"/>
      <c r="M280" s="57" t="str">
        <f t="shared" ca="1" si="41"/>
        <v/>
      </c>
      <c r="N280" s="57">
        <f t="shared" ca="1" si="42"/>
        <v>1210097</v>
      </c>
    </row>
    <row r="281" spans="1:14">
      <c r="A281" s="105">
        <v>291</v>
      </c>
      <c r="B281" s="105" t="str">
        <f ca="1">VLOOKUP( $A281, Aop!$A$2:$P$456, 2, 0)</f>
        <v>BTG</v>
      </c>
      <c r="C281" s="57">
        <f t="shared" ca="1" si="38"/>
        <v>2</v>
      </c>
      <c r="D281" s="57" t="str">
        <f t="shared" ca="1" si="35"/>
        <v>01111329</v>
      </c>
      <c r="E281" s="57" t="str">
        <f t="shared" ca="1" si="36"/>
        <v>4400692320002</v>
      </c>
      <c r="F281" s="57" t="b">
        <f t="shared" ca="1" si="39"/>
        <v>0</v>
      </c>
      <c r="G281" s="140">
        <f t="shared" ca="1" si="40"/>
        <v>44742</v>
      </c>
      <c r="H281" s="105">
        <f ca="1">VLOOKUP( $A281, Aop!$A$2:$P$456, 4, 0)</f>
        <v>508</v>
      </c>
      <c r="I281" s="57">
        <f t="shared" ca="1" si="37"/>
        <v>2022</v>
      </c>
      <c r="J281" s="57"/>
      <c r="K281" s="57"/>
      <c r="L281" s="57"/>
      <c r="M281" s="57" t="str">
        <f t="shared" ca="1" si="41"/>
        <v/>
      </c>
      <c r="N281" s="57">
        <f t="shared" ca="1" si="42"/>
        <v>8071</v>
      </c>
    </row>
    <row r="282" spans="1:14">
      <c r="A282" s="105">
        <v>292</v>
      </c>
      <c r="B282" s="105" t="str">
        <f ca="1">VLOOKUP( $A282, Aop!$A$2:$P$456, 2, 0)</f>
        <v>BTG</v>
      </c>
      <c r="C282" s="57">
        <f t="shared" ca="1" si="38"/>
        <v>2</v>
      </c>
      <c r="D282" s="57" t="str">
        <f t="shared" ca="1" si="35"/>
        <v>01111329</v>
      </c>
      <c r="E282" s="57" t="str">
        <f t="shared" ca="1" si="36"/>
        <v>4400692320002</v>
      </c>
      <c r="F282" s="57" t="b">
        <f t="shared" ca="1" si="39"/>
        <v>0</v>
      </c>
      <c r="G282" s="140">
        <f t="shared" ca="1" si="40"/>
        <v>44742</v>
      </c>
      <c r="H282" s="105">
        <f ca="1">VLOOKUP( $A282, Aop!$A$2:$P$456, 4, 0)</f>
        <v>509</v>
      </c>
      <c r="I282" s="57">
        <f t="shared" ca="1" si="37"/>
        <v>2022</v>
      </c>
      <c r="J282" s="57"/>
      <c r="K282" s="57"/>
      <c r="L282" s="57"/>
      <c r="M282" s="57" t="str">
        <f t="shared" ca="1" si="41"/>
        <v/>
      </c>
      <c r="N282" s="57" t="str">
        <f t="shared" ca="1" si="42"/>
        <v/>
      </c>
    </row>
    <row r="283" spans="1:14">
      <c r="A283" s="105">
        <v>293</v>
      </c>
      <c r="B283" s="105" t="str">
        <f ca="1">VLOOKUP( $A283, Aop!$A$2:$P$456, 2, 0)</f>
        <v>BTG</v>
      </c>
      <c r="C283" s="57">
        <f t="shared" ca="1" si="38"/>
        <v>2</v>
      </c>
      <c r="D283" s="57" t="str">
        <f t="shared" ca="1" si="35"/>
        <v>01111329</v>
      </c>
      <c r="E283" s="57" t="str">
        <f t="shared" ca="1" si="36"/>
        <v>4400692320002</v>
      </c>
      <c r="F283" s="57" t="b">
        <f t="shared" ca="1" si="39"/>
        <v>0</v>
      </c>
      <c r="G283" s="140">
        <f t="shared" ca="1" si="40"/>
        <v>44742</v>
      </c>
      <c r="H283" s="105">
        <f ca="1">VLOOKUP( $A283, Aop!$A$2:$P$456, 4, 0)</f>
        <v>510</v>
      </c>
      <c r="I283" s="57">
        <f t="shared" ca="1" si="37"/>
        <v>2022</v>
      </c>
      <c r="J283" s="57"/>
      <c r="K283" s="57"/>
      <c r="L283" s="57"/>
      <c r="M283" s="57" t="str">
        <f t="shared" ca="1" si="41"/>
        <v/>
      </c>
      <c r="N283" s="57">
        <f t="shared" ca="1" si="42"/>
        <v>611056</v>
      </c>
    </row>
    <row r="284" spans="1:14">
      <c r="A284" s="105">
        <v>294</v>
      </c>
      <c r="B284" s="105" t="str">
        <f ca="1">VLOOKUP( $A284, Aop!$A$2:$P$456, 2, 0)</f>
        <v>BTG</v>
      </c>
      <c r="C284" s="57">
        <f t="shared" ca="1" si="38"/>
        <v>2</v>
      </c>
      <c r="D284" s="57" t="str">
        <f t="shared" ca="1" si="35"/>
        <v>01111329</v>
      </c>
      <c r="E284" s="57" t="str">
        <f t="shared" ca="1" si="36"/>
        <v>4400692320002</v>
      </c>
      <c r="F284" s="57" t="b">
        <f t="shared" ca="1" si="39"/>
        <v>0</v>
      </c>
      <c r="G284" s="140">
        <f t="shared" ca="1" si="40"/>
        <v>44742</v>
      </c>
      <c r="H284" s="105">
        <f ca="1">VLOOKUP( $A284, Aop!$A$2:$P$456, 4, 0)</f>
        <v>511</v>
      </c>
      <c r="I284" s="57">
        <f t="shared" ca="1" si="37"/>
        <v>2022</v>
      </c>
      <c r="J284" s="57"/>
      <c r="K284" s="57"/>
      <c r="L284" s="57"/>
      <c r="M284" s="57" t="str">
        <f t="shared" ca="1" si="41"/>
        <v/>
      </c>
      <c r="N284" s="57" t="str">
        <f t="shared" ca="1" si="42"/>
        <v/>
      </c>
    </row>
    <row r="285" spans="1:14">
      <c r="A285" s="105">
        <v>295</v>
      </c>
      <c r="B285" s="105" t="str">
        <f ca="1">VLOOKUP( $A285, Aop!$A$2:$P$456, 2, 0)</f>
        <v>BTG</v>
      </c>
      <c r="C285" s="57">
        <f t="shared" ca="1" si="38"/>
        <v>2</v>
      </c>
      <c r="D285" s="57" t="str">
        <f t="shared" ca="1" si="35"/>
        <v>01111329</v>
      </c>
      <c r="E285" s="57" t="str">
        <f t="shared" ca="1" si="36"/>
        <v>4400692320002</v>
      </c>
      <c r="F285" s="57" t="b">
        <f t="shared" ca="1" si="39"/>
        <v>0</v>
      </c>
      <c r="G285" s="140">
        <f t="shared" ca="1" si="40"/>
        <v>44742</v>
      </c>
      <c r="H285" s="105">
        <f ca="1">VLOOKUP( $A285, Aop!$A$2:$P$456, 4, 0)</f>
        <v>512</v>
      </c>
      <c r="I285" s="57">
        <f t="shared" ca="1" si="37"/>
        <v>2022</v>
      </c>
      <c r="J285" s="57"/>
      <c r="K285" s="57"/>
      <c r="L285" s="57"/>
      <c r="M285" s="57" t="str">
        <f t="shared" ca="1" si="41"/>
        <v/>
      </c>
      <c r="N285" s="57">
        <f t="shared" ca="1" si="42"/>
        <v>207069</v>
      </c>
    </row>
    <row r="286" spans="1:14">
      <c r="A286" s="105">
        <v>296</v>
      </c>
      <c r="B286" s="105" t="str">
        <f ca="1">VLOOKUP( $A286, Aop!$A$2:$P$456, 2, 0)</f>
        <v>BTG</v>
      </c>
      <c r="C286" s="57">
        <f t="shared" ca="1" si="38"/>
        <v>2</v>
      </c>
      <c r="D286" s="57" t="str">
        <f t="shared" ca="1" si="35"/>
        <v>01111329</v>
      </c>
      <c r="E286" s="57" t="str">
        <f t="shared" ca="1" si="36"/>
        <v>4400692320002</v>
      </c>
      <c r="F286" s="57" t="b">
        <f t="shared" ca="1" si="39"/>
        <v>0</v>
      </c>
      <c r="G286" s="140">
        <f t="shared" ca="1" si="40"/>
        <v>44742</v>
      </c>
      <c r="H286" s="105">
        <f ca="1">VLOOKUP( $A286, Aop!$A$2:$P$456, 4, 0)</f>
        <v>513</v>
      </c>
      <c r="I286" s="57">
        <f t="shared" ca="1" si="37"/>
        <v>2022</v>
      </c>
      <c r="J286" s="57"/>
      <c r="K286" s="57"/>
      <c r="L286" s="57"/>
      <c r="M286" s="57" t="str">
        <f t="shared" ca="1" si="41"/>
        <v/>
      </c>
      <c r="N286" s="57">
        <f t="shared" ca="1" si="42"/>
        <v>0</v>
      </c>
    </row>
    <row r="287" spans="1:14">
      <c r="A287" s="105">
        <v>297</v>
      </c>
      <c r="B287" s="105" t="str">
        <f ca="1">VLOOKUP( $A287, Aop!$A$2:$P$456, 2, 0)</f>
        <v>BTG</v>
      </c>
      <c r="C287" s="57">
        <f t="shared" ca="1" si="38"/>
        <v>2</v>
      </c>
      <c r="D287" s="57" t="str">
        <f t="shared" ca="1" si="35"/>
        <v>01111329</v>
      </c>
      <c r="E287" s="57" t="str">
        <f t="shared" ca="1" si="36"/>
        <v>4400692320002</v>
      </c>
      <c r="F287" s="57" t="b">
        <f t="shared" ca="1" si="39"/>
        <v>0</v>
      </c>
      <c r="G287" s="140">
        <f t="shared" ca="1" si="40"/>
        <v>44742</v>
      </c>
      <c r="H287" s="105">
        <f ca="1">VLOOKUP( $A287, Aop!$A$2:$P$456, 4, 0)</f>
        <v>514</v>
      </c>
      <c r="I287" s="57">
        <f t="shared" ca="1" si="37"/>
        <v>2022</v>
      </c>
      <c r="J287" s="57"/>
      <c r="K287" s="57"/>
      <c r="L287" s="57"/>
      <c r="M287" s="57" t="str">
        <f t="shared" ca="1" si="41"/>
        <v/>
      </c>
      <c r="N287" s="57">
        <f t="shared" ca="1" si="42"/>
        <v>514127</v>
      </c>
    </row>
    <row r="288" spans="1:14">
      <c r="A288" s="105">
        <v>298</v>
      </c>
      <c r="B288" s="105" t="str">
        <f ca="1">VLOOKUP( $A288, Aop!$A$2:$P$456, 2, 0)</f>
        <v>BTG</v>
      </c>
      <c r="C288" s="57">
        <f t="shared" ca="1" si="38"/>
        <v>2</v>
      </c>
      <c r="D288" s="57" t="str">
        <f t="shared" ca="1" si="35"/>
        <v>01111329</v>
      </c>
      <c r="E288" s="57" t="str">
        <f t="shared" ca="1" si="36"/>
        <v>4400692320002</v>
      </c>
      <c r="F288" s="57" t="b">
        <f t="shared" ca="1" si="39"/>
        <v>0</v>
      </c>
      <c r="G288" s="140">
        <f t="shared" ca="1" si="40"/>
        <v>44742</v>
      </c>
      <c r="H288" s="105">
        <f ca="1">VLOOKUP( $A288, Aop!$A$2:$P$456, 4, 0)</f>
        <v>515</v>
      </c>
      <c r="I288" s="57">
        <f t="shared" ca="1" si="37"/>
        <v>2022</v>
      </c>
      <c r="J288" s="57"/>
      <c r="K288" s="57"/>
      <c r="L288" s="57"/>
      <c r="M288" s="57" t="str">
        <f t="shared" ca="1" si="41"/>
        <v/>
      </c>
      <c r="N288" s="57">
        <f t="shared" ca="1" si="42"/>
        <v>17085001</v>
      </c>
    </row>
    <row r="289" spans="1:14">
      <c r="A289" s="105">
        <v>300</v>
      </c>
      <c r="B289" s="105" t="str">
        <f ca="1">VLOOKUP( $A289, Aop!$A$2:$P$456, 2, 0)</f>
        <v>BTG</v>
      </c>
      <c r="C289" s="57">
        <f t="shared" ca="1" si="38"/>
        <v>2</v>
      </c>
      <c r="D289" s="57" t="str">
        <f t="shared" ca="1" si="35"/>
        <v>01111329</v>
      </c>
      <c r="E289" s="57" t="str">
        <f t="shared" ca="1" si="36"/>
        <v>4400692320002</v>
      </c>
      <c r="F289" s="57" t="b">
        <f t="shared" ca="1" si="39"/>
        <v>0</v>
      </c>
      <c r="G289" s="140">
        <f t="shared" ca="1" si="40"/>
        <v>44742</v>
      </c>
      <c r="H289" s="105">
        <f ca="1">VLOOKUP( $A289, Aop!$A$2:$P$456, 4, 0)</f>
        <v>517</v>
      </c>
      <c r="I289" s="57">
        <f t="shared" ca="1" si="37"/>
        <v>2022</v>
      </c>
      <c r="J289" s="57"/>
      <c r="K289" s="57"/>
      <c r="L289" s="57"/>
      <c r="M289" s="57" t="str">
        <f t="shared" ca="1" si="41"/>
        <v/>
      </c>
      <c r="N289" s="57" t="str">
        <f t="shared" ca="1" si="42"/>
        <v/>
      </c>
    </row>
    <row r="290" spans="1:14">
      <c r="A290" s="105">
        <v>301</v>
      </c>
      <c r="B290" s="105" t="str">
        <f ca="1">VLOOKUP( $A290, Aop!$A$2:$P$456, 2, 0)</f>
        <v>BTG</v>
      </c>
      <c r="C290" s="57">
        <f t="shared" ca="1" si="38"/>
        <v>2</v>
      </c>
      <c r="D290" s="57" t="str">
        <f t="shared" ca="1" si="35"/>
        <v>01111329</v>
      </c>
      <c r="E290" s="57" t="str">
        <f t="shared" ca="1" si="36"/>
        <v>4400692320002</v>
      </c>
      <c r="F290" s="57" t="b">
        <f t="shared" ca="1" si="39"/>
        <v>0</v>
      </c>
      <c r="G290" s="140">
        <f t="shared" ca="1" si="40"/>
        <v>44742</v>
      </c>
      <c r="H290" s="105">
        <f ca="1">VLOOKUP( $A290, Aop!$A$2:$P$456, 4, 0)</f>
        <v>518</v>
      </c>
      <c r="I290" s="57">
        <f t="shared" ca="1" si="37"/>
        <v>2022</v>
      </c>
      <c r="J290" s="57"/>
      <c r="K290" s="57"/>
      <c r="L290" s="57"/>
      <c r="M290" s="57" t="str">
        <f t="shared" ca="1" si="41"/>
        <v/>
      </c>
      <c r="N290" s="57" t="str">
        <f t="shared" ca="1" si="42"/>
        <v/>
      </c>
    </row>
    <row r="291" spans="1:14">
      <c r="A291" s="105">
        <v>302</v>
      </c>
      <c r="B291" s="105" t="str">
        <f ca="1">VLOOKUP( $A291, Aop!$A$2:$P$456, 2, 0)</f>
        <v>BTG</v>
      </c>
      <c r="C291" s="57">
        <f t="shared" ca="1" si="38"/>
        <v>2</v>
      </c>
      <c r="D291" s="57" t="str">
        <f t="shared" ca="1" si="35"/>
        <v>01111329</v>
      </c>
      <c r="E291" s="57" t="str">
        <f t="shared" ca="1" si="36"/>
        <v>4400692320002</v>
      </c>
      <c r="F291" s="57" t="b">
        <f t="shared" ca="1" si="39"/>
        <v>0</v>
      </c>
      <c r="G291" s="140">
        <f t="shared" ca="1" si="40"/>
        <v>44742</v>
      </c>
      <c r="H291" s="105">
        <f ca="1">VLOOKUP( $A291, Aop!$A$2:$P$456, 4, 0)</f>
        <v>519</v>
      </c>
      <c r="I291" s="57">
        <f t="shared" ca="1" si="37"/>
        <v>2022</v>
      </c>
      <c r="J291" s="57"/>
      <c r="K291" s="57"/>
      <c r="L291" s="57"/>
      <c r="M291" s="57" t="str">
        <f t="shared" ca="1" si="41"/>
        <v/>
      </c>
      <c r="N291" s="57" t="str">
        <f t="shared" ca="1" si="42"/>
        <v/>
      </c>
    </row>
    <row r="292" spans="1:14">
      <c r="A292" s="105">
        <v>303</v>
      </c>
      <c r="B292" s="105" t="str">
        <f ca="1">VLOOKUP( $A292, Aop!$A$2:$P$456, 2, 0)</f>
        <v>BTG</v>
      </c>
      <c r="C292" s="57">
        <f t="shared" ca="1" si="38"/>
        <v>2</v>
      </c>
      <c r="D292" s="57" t="str">
        <f t="shared" ca="1" si="35"/>
        <v>01111329</v>
      </c>
      <c r="E292" s="57" t="str">
        <f t="shared" ca="1" si="36"/>
        <v>4400692320002</v>
      </c>
      <c r="F292" s="57" t="b">
        <f t="shared" ca="1" si="39"/>
        <v>0</v>
      </c>
      <c r="G292" s="140">
        <f t="shared" ca="1" si="40"/>
        <v>44742</v>
      </c>
      <c r="H292" s="105">
        <f ca="1">VLOOKUP( $A292, Aop!$A$2:$P$456, 4, 0)</f>
        <v>520</v>
      </c>
      <c r="I292" s="57">
        <f t="shared" ca="1" si="37"/>
        <v>2022</v>
      </c>
      <c r="J292" s="57"/>
      <c r="K292" s="57"/>
      <c r="L292" s="57"/>
      <c r="M292" s="57" t="str">
        <f t="shared" ca="1" si="41"/>
        <v/>
      </c>
      <c r="N292" s="57" t="str">
        <f t="shared" ca="1" si="42"/>
        <v/>
      </c>
    </row>
    <row r="293" spans="1:14">
      <c r="A293" s="105">
        <v>304</v>
      </c>
      <c r="B293" s="105" t="str">
        <f ca="1">VLOOKUP( $A293, Aop!$A$2:$P$456, 2, 0)</f>
        <v>BTG</v>
      </c>
      <c r="C293" s="57">
        <f t="shared" ca="1" si="38"/>
        <v>2</v>
      </c>
      <c r="D293" s="57" t="str">
        <f t="shared" ca="1" si="35"/>
        <v>01111329</v>
      </c>
      <c r="E293" s="57" t="str">
        <f t="shared" ca="1" si="36"/>
        <v>4400692320002</v>
      </c>
      <c r="F293" s="57" t="b">
        <f t="shared" ca="1" si="39"/>
        <v>0</v>
      </c>
      <c r="G293" s="140">
        <f t="shared" ca="1" si="40"/>
        <v>44742</v>
      </c>
      <c r="H293" s="105">
        <f ca="1">VLOOKUP( $A293, Aop!$A$2:$P$456, 4, 0)</f>
        <v>521</v>
      </c>
      <c r="I293" s="57">
        <f t="shared" ca="1" si="37"/>
        <v>2022</v>
      </c>
      <c r="J293" s="57"/>
      <c r="K293" s="57"/>
      <c r="L293" s="57"/>
      <c r="M293" s="57" t="str">
        <f t="shared" ca="1" si="41"/>
        <v/>
      </c>
      <c r="N293" s="57" t="str">
        <f t="shared" ca="1" si="42"/>
        <v/>
      </c>
    </row>
    <row r="294" spans="1:14">
      <c r="A294" s="105">
        <v>305</v>
      </c>
      <c r="B294" s="105" t="str">
        <f ca="1">VLOOKUP( $A294, Aop!$A$2:$P$456, 2, 0)</f>
        <v>BTG</v>
      </c>
      <c r="C294" s="57">
        <f t="shared" ca="1" si="38"/>
        <v>2</v>
      </c>
      <c r="D294" s="57" t="str">
        <f t="shared" ca="1" si="35"/>
        <v>01111329</v>
      </c>
      <c r="E294" s="57" t="str">
        <f t="shared" ca="1" si="36"/>
        <v>4400692320002</v>
      </c>
      <c r="F294" s="57" t="b">
        <f t="shared" ca="1" si="39"/>
        <v>0</v>
      </c>
      <c r="G294" s="140">
        <f t="shared" ca="1" si="40"/>
        <v>44742</v>
      </c>
      <c r="H294" s="105">
        <f ca="1">VLOOKUP( $A294, Aop!$A$2:$P$456, 4, 0)</f>
        <v>522</v>
      </c>
      <c r="I294" s="57">
        <f t="shared" ca="1" si="37"/>
        <v>2022</v>
      </c>
      <c r="J294" s="57"/>
      <c r="K294" s="57"/>
      <c r="L294" s="57"/>
      <c r="M294" s="57" t="str">
        <f t="shared" ca="1" si="41"/>
        <v/>
      </c>
      <c r="N294" s="57" t="str">
        <f t="shared" ca="1" si="42"/>
        <v/>
      </c>
    </row>
    <row r="295" spans="1:14">
      <c r="A295" s="105">
        <v>306</v>
      </c>
      <c r="B295" s="105" t="str">
        <f ca="1">VLOOKUP( $A295, Aop!$A$2:$P$456, 2, 0)</f>
        <v>BTG</v>
      </c>
      <c r="C295" s="57">
        <f t="shared" ca="1" si="38"/>
        <v>2</v>
      </c>
      <c r="D295" s="57" t="str">
        <f t="shared" ca="1" si="35"/>
        <v>01111329</v>
      </c>
      <c r="E295" s="57" t="str">
        <f t="shared" ca="1" si="36"/>
        <v>4400692320002</v>
      </c>
      <c r="F295" s="57" t="b">
        <f t="shared" ca="1" si="39"/>
        <v>0</v>
      </c>
      <c r="G295" s="140">
        <f t="shared" ca="1" si="40"/>
        <v>44742</v>
      </c>
      <c r="H295" s="105">
        <f ca="1">VLOOKUP( $A295, Aop!$A$2:$P$456, 4, 0)</f>
        <v>523</v>
      </c>
      <c r="I295" s="57">
        <f t="shared" ca="1" si="37"/>
        <v>2022</v>
      </c>
      <c r="J295" s="57"/>
      <c r="K295" s="57"/>
      <c r="L295" s="57"/>
      <c r="M295" s="57" t="str">
        <f t="shared" ca="1" si="41"/>
        <v/>
      </c>
      <c r="N295" s="57" t="str">
        <f t="shared" ca="1" si="42"/>
        <v/>
      </c>
    </row>
    <row r="296" spans="1:14">
      <c r="A296" s="105">
        <v>307</v>
      </c>
      <c r="B296" s="105" t="str">
        <f ca="1">VLOOKUP( $A296, Aop!$A$2:$P$456, 2, 0)</f>
        <v>BTG</v>
      </c>
      <c r="C296" s="57">
        <f t="shared" ca="1" si="38"/>
        <v>2</v>
      </c>
      <c r="D296" s="57" t="str">
        <f t="shared" ca="1" si="35"/>
        <v>01111329</v>
      </c>
      <c r="E296" s="57" t="str">
        <f t="shared" ca="1" si="36"/>
        <v>4400692320002</v>
      </c>
      <c r="F296" s="57" t="b">
        <f t="shared" ca="1" si="39"/>
        <v>0</v>
      </c>
      <c r="G296" s="140">
        <f t="shared" ca="1" si="40"/>
        <v>44742</v>
      </c>
      <c r="H296" s="105">
        <f ca="1">VLOOKUP( $A296, Aop!$A$2:$P$456, 4, 0)</f>
        <v>524</v>
      </c>
      <c r="I296" s="57">
        <f t="shared" ca="1" si="37"/>
        <v>2022</v>
      </c>
      <c r="J296" s="57"/>
      <c r="K296" s="57"/>
      <c r="L296" s="57"/>
      <c r="M296" s="57" t="str">
        <f t="shared" ca="1" si="41"/>
        <v/>
      </c>
      <c r="N296" s="57" t="str">
        <f t="shared" ca="1" si="42"/>
        <v/>
      </c>
    </row>
    <row r="297" spans="1:14">
      <c r="A297" s="105">
        <v>308</v>
      </c>
      <c r="B297" s="105" t="str">
        <f ca="1">VLOOKUP( $A297, Aop!$A$2:$P$456, 2, 0)</f>
        <v>BTG</v>
      </c>
      <c r="C297" s="57">
        <f t="shared" ca="1" si="38"/>
        <v>2</v>
      </c>
      <c r="D297" s="57" t="str">
        <f t="shared" ca="1" si="35"/>
        <v>01111329</v>
      </c>
      <c r="E297" s="57" t="str">
        <f t="shared" ca="1" si="36"/>
        <v>4400692320002</v>
      </c>
      <c r="F297" s="57" t="b">
        <f t="shared" ca="1" si="39"/>
        <v>0</v>
      </c>
      <c r="G297" s="140">
        <f t="shared" ca="1" si="40"/>
        <v>44742</v>
      </c>
      <c r="H297" s="105">
        <f ca="1">VLOOKUP( $A297, Aop!$A$2:$P$456, 4, 0)</f>
        <v>525</v>
      </c>
      <c r="I297" s="57">
        <f t="shared" ca="1" si="37"/>
        <v>2022</v>
      </c>
      <c r="J297" s="57"/>
      <c r="K297" s="57"/>
      <c r="L297" s="57"/>
      <c r="M297" s="57" t="str">
        <f t="shared" ca="1" si="41"/>
        <v/>
      </c>
      <c r="N297" s="57" t="str">
        <f t="shared" ca="1" si="42"/>
        <v/>
      </c>
    </row>
    <row r="298" spans="1:14">
      <c r="A298" s="105">
        <v>309</v>
      </c>
      <c r="B298" s="105" t="str">
        <f ca="1">VLOOKUP( $A298, Aop!$A$2:$P$456, 2, 0)</f>
        <v>BTG</v>
      </c>
      <c r="C298" s="57">
        <f t="shared" ca="1" si="38"/>
        <v>2</v>
      </c>
      <c r="D298" s="57" t="str">
        <f t="shared" ca="1" si="35"/>
        <v>01111329</v>
      </c>
      <c r="E298" s="57" t="str">
        <f t="shared" ca="1" si="36"/>
        <v>4400692320002</v>
      </c>
      <c r="F298" s="57" t="b">
        <f t="shared" ca="1" si="39"/>
        <v>0</v>
      </c>
      <c r="G298" s="140">
        <f t="shared" ca="1" si="40"/>
        <v>44742</v>
      </c>
      <c r="H298" s="105">
        <f ca="1">VLOOKUP( $A298, Aop!$A$2:$P$456, 4, 0)</f>
        <v>526</v>
      </c>
      <c r="I298" s="57">
        <f t="shared" ca="1" si="37"/>
        <v>2022</v>
      </c>
      <c r="J298" s="57"/>
      <c r="K298" s="57"/>
      <c r="L298" s="57"/>
      <c r="M298" s="57" t="str">
        <f t="shared" ca="1" si="41"/>
        <v/>
      </c>
      <c r="N298" s="57" t="str">
        <f t="shared" ca="1" si="42"/>
        <v/>
      </c>
    </row>
    <row r="299" spans="1:14">
      <c r="A299" s="105">
        <v>310</v>
      </c>
      <c r="B299" s="105" t="str">
        <f ca="1">VLOOKUP( $A299, Aop!$A$2:$P$456, 2, 0)</f>
        <v>BTG</v>
      </c>
      <c r="C299" s="57">
        <f t="shared" ca="1" si="38"/>
        <v>2</v>
      </c>
      <c r="D299" s="57" t="str">
        <f t="shared" ca="1" si="35"/>
        <v>01111329</v>
      </c>
      <c r="E299" s="57" t="str">
        <f t="shared" ca="1" si="36"/>
        <v>4400692320002</v>
      </c>
      <c r="F299" s="57" t="b">
        <f t="shared" ca="1" si="39"/>
        <v>0</v>
      </c>
      <c r="G299" s="140">
        <f t="shared" ca="1" si="40"/>
        <v>44742</v>
      </c>
      <c r="H299" s="105">
        <f ca="1">VLOOKUP( $A299, Aop!$A$2:$P$456, 4, 0)</f>
        <v>527</v>
      </c>
      <c r="I299" s="57">
        <f t="shared" ca="1" si="37"/>
        <v>2022</v>
      </c>
      <c r="J299" s="57"/>
      <c r="K299" s="57"/>
      <c r="L299" s="57"/>
      <c r="M299" s="57" t="str">
        <f t="shared" ca="1" si="41"/>
        <v/>
      </c>
      <c r="N299" s="57" t="str">
        <f t="shared" ca="1" si="42"/>
        <v/>
      </c>
    </row>
    <row r="300" spans="1:14">
      <c r="A300" s="105">
        <v>311</v>
      </c>
      <c r="B300" s="105" t="str">
        <f ca="1">VLOOKUP( $A300, Aop!$A$2:$P$456, 2, 0)</f>
        <v>BTG</v>
      </c>
      <c r="C300" s="57">
        <f t="shared" ca="1" si="38"/>
        <v>2</v>
      </c>
      <c r="D300" s="57" t="str">
        <f t="shared" ca="1" si="35"/>
        <v>01111329</v>
      </c>
      <c r="E300" s="57" t="str">
        <f t="shared" ca="1" si="36"/>
        <v>4400692320002</v>
      </c>
      <c r="F300" s="57" t="b">
        <f t="shared" ca="1" si="39"/>
        <v>0</v>
      </c>
      <c r="G300" s="140">
        <f t="shared" ca="1" si="40"/>
        <v>44742</v>
      </c>
      <c r="H300" s="105">
        <f ca="1">VLOOKUP( $A300, Aop!$A$2:$P$456, 4, 0)</f>
        <v>528</v>
      </c>
      <c r="I300" s="57">
        <f t="shared" ca="1" si="37"/>
        <v>2022</v>
      </c>
      <c r="J300" s="57"/>
      <c r="K300" s="57"/>
      <c r="L300" s="57"/>
      <c r="M300" s="57" t="str">
        <f t="shared" ca="1" si="41"/>
        <v/>
      </c>
      <c r="N300" s="57">
        <f t="shared" ca="1" si="42"/>
        <v>17085001</v>
      </c>
    </row>
    <row r="301" spans="1:14">
      <c r="A301" s="105">
        <v>312</v>
      </c>
      <c r="B301" s="105" t="str">
        <f ca="1">VLOOKUP( $A301, Aop!$A$2:$P$456, 2, 0)</f>
        <v>BTG</v>
      </c>
      <c r="C301" s="57">
        <f t="shared" ca="1" si="38"/>
        <v>2</v>
      </c>
      <c r="D301" s="57" t="str">
        <f t="shared" ca="1" si="35"/>
        <v>01111329</v>
      </c>
      <c r="E301" s="57" t="str">
        <f t="shared" ca="1" si="36"/>
        <v>4400692320002</v>
      </c>
      <c r="F301" s="57" t="b">
        <f t="shared" ca="1" si="39"/>
        <v>0</v>
      </c>
      <c r="G301" s="140">
        <f t="shared" ca="1" si="40"/>
        <v>44742</v>
      </c>
      <c r="H301" s="105">
        <f ca="1">VLOOKUP( $A301, Aop!$A$2:$P$456, 4, 0)</f>
        <v>529</v>
      </c>
      <c r="I301" s="57">
        <f t="shared" ca="1" si="37"/>
        <v>2022</v>
      </c>
      <c r="J301" s="57"/>
      <c r="K301" s="57"/>
      <c r="L301" s="57"/>
      <c r="M301" s="57" t="str">
        <f t="shared" ca="1" si="41"/>
        <v/>
      </c>
      <c r="N301" s="57" t="str">
        <f t="shared" ca="1" si="42"/>
        <v/>
      </c>
    </row>
    <row r="302" spans="1:14">
      <c r="A302" s="105">
        <v>313</v>
      </c>
      <c r="B302" s="105" t="str">
        <f ca="1">VLOOKUP( $A302, Aop!$A$2:$P$456, 2, 0)</f>
        <v>BTG</v>
      </c>
      <c r="C302" s="57">
        <f t="shared" ca="1" si="38"/>
        <v>2</v>
      </c>
      <c r="D302" s="57" t="str">
        <f t="shared" ca="1" si="35"/>
        <v>01111329</v>
      </c>
      <c r="E302" s="57" t="str">
        <f t="shared" ca="1" si="36"/>
        <v>4400692320002</v>
      </c>
      <c r="F302" s="57" t="b">
        <f t="shared" ca="1" si="39"/>
        <v>0</v>
      </c>
      <c r="G302" s="140">
        <f t="shared" ca="1" si="40"/>
        <v>44742</v>
      </c>
      <c r="H302" s="105">
        <f ca="1">VLOOKUP( $A302, Aop!$A$2:$P$456, 4, 0)</f>
        <v>530</v>
      </c>
      <c r="I302" s="57">
        <f t="shared" ca="1" si="37"/>
        <v>2022</v>
      </c>
      <c r="J302" s="57"/>
      <c r="K302" s="57"/>
      <c r="L302" s="57"/>
      <c r="M302" s="57" t="str">
        <f t="shared" ca="1" si="41"/>
        <v/>
      </c>
      <c r="N302" s="57" t="str">
        <f t="shared" ca="1" si="42"/>
        <v/>
      </c>
    </row>
    <row r="303" spans="1:14">
      <c r="A303" s="105">
        <v>314</v>
      </c>
      <c r="B303" s="105" t="str">
        <f ca="1">VLOOKUP( $A303, Aop!$A$2:$P$456, 2, 0)</f>
        <v>BTG</v>
      </c>
      <c r="C303" s="57">
        <f t="shared" ca="1" si="38"/>
        <v>2</v>
      </c>
      <c r="D303" s="57" t="str">
        <f t="shared" ca="1" si="35"/>
        <v>01111329</v>
      </c>
      <c r="E303" s="57" t="str">
        <f t="shared" ca="1" si="36"/>
        <v>4400692320002</v>
      </c>
      <c r="F303" s="57" t="b">
        <f t="shared" ca="1" si="39"/>
        <v>0</v>
      </c>
      <c r="G303" s="140">
        <f t="shared" ca="1" si="40"/>
        <v>44742</v>
      </c>
      <c r="H303" s="105">
        <f ca="1">VLOOKUP( $A303, Aop!$A$2:$P$456, 4, 0)</f>
        <v>531</v>
      </c>
      <c r="I303" s="57">
        <f t="shared" ca="1" si="37"/>
        <v>2022</v>
      </c>
      <c r="J303" s="57"/>
      <c r="K303" s="57"/>
      <c r="L303" s="57"/>
      <c r="M303" s="57" t="str">
        <f t="shared" ca="1" si="41"/>
        <v/>
      </c>
      <c r="N303" s="57">
        <f t="shared" ca="1" si="42"/>
        <v>349062</v>
      </c>
    </row>
    <row r="304" spans="1:14">
      <c r="A304" s="105">
        <v>315</v>
      </c>
      <c r="B304" s="105" t="str">
        <f ca="1">VLOOKUP( $A304, Aop!$A$2:$P$456, 2, 0)</f>
        <v>BTG</v>
      </c>
      <c r="C304" s="57">
        <f t="shared" ca="1" si="38"/>
        <v>2</v>
      </c>
      <c r="D304" s="57" t="str">
        <f t="shared" ca="1" si="35"/>
        <v>01111329</v>
      </c>
      <c r="E304" s="57" t="str">
        <f t="shared" ca="1" si="36"/>
        <v>4400692320002</v>
      </c>
      <c r="F304" s="57" t="b">
        <f t="shared" ca="1" si="39"/>
        <v>0</v>
      </c>
      <c r="G304" s="140">
        <f t="shared" ca="1" si="40"/>
        <v>44742</v>
      </c>
      <c r="H304" s="105">
        <f ca="1">VLOOKUP( $A304, Aop!$A$2:$P$456, 4, 0)</f>
        <v>532</v>
      </c>
      <c r="I304" s="57">
        <f t="shared" ca="1" si="37"/>
        <v>2022</v>
      </c>
      <c r="J304" s="57"/>
      <c r="K304" s="57"/>
      <c r="L304" s="57"/>
      <c r="M304" s="57" t="str">
        <f t="shared" ca="1" si="41"/>
        <v/>
      </c>
      <c r="N304" s="57" t="str">
        <f t="shared" ca="1" si="42"/>
        <v/>
      </c>
    </row>
    <row r="305" spans="1:14">
      <c r="A305" s="105">
        <v>316</v>
      </c>
      <c r="B305" s="105" t="str">
        <f ca="1">VLOOKUP( $A305, Aop!$A$2:$P$456, 2, 0)</f>
        <v>BTG</v>
      </c>
      <c r="C305" s="57">
        <f t="shared" ca="1" si="38"/>
        <v>2</v>
      </c>
      <c r="D305" s="57" t="str">
        <f t="shared" ca="1" si="35"/>
        <v>01111329</v>
      </c>
      <c r="E305" s="57" t="str">
        <f t="shared" ca="1" si="36"/>
        <v>4400692320002</v>
      </c>
      <c r="F305" s="57" t="b">
        <f t="shared" ca="1" si="39"/>
        <v>0</v>
      </c>
      <c r="G305" s="140">
        <f t="shared" ca="1" si="40"/>
        <v>44742</v>
      </c>
      <c r="H305" s="105">
        <f ca="1">VLOOKUP( $A305, Aop!$A$2:$P$456, 4, 0)</f>
        <v>533</v>
      </c>
      <c r="I305" s="57">
        <f t="shared" ca="1" si="37"/>
        <v>2022</v>
      </c>
      <c r="J305" s="57"/>
      <c r="K305" s="57"/>
      <c r="L305" s="57"/>
      <c r="M305" s="57" t="str">
        <f t="shared" ca="1" si="41"/>
        <v/>
      </c>
      <c r="N305" s="57" t="str">
        <f t="shared" ca="1" si="42"/>
        <v/>
      </c>
    </row>
    <row r="306" spans="1:14">
      <c r="A306" s="105">
        <v>317</v>
      </c>
      <c r="B306" s="105" t="str">
        <f ca="1">VLOOKUP( $A306, Aop!$A$2:$P$456, 2, 0)</f>
        <v>BTG</v>
      </c>
      <c r="C306" s="57">
        <f t="shared" ca="1" si="38"/>
        <v>2</v>
      </c>
      <c r="D306" s="57" t="str">
        <f t="shared" ca="1" si="35"/>
        <v>01111329</v>
      </c>
      <c r="E306" s="57" t="str">
        <f t="shared" ca="1" si="36"/>
        <v>4400692320002</v>
      </c>
      <c r="F306" s="57" t="b">
        <f t="shared" ca="1" si="39"/>
        <v>0</v>
      </c>
      <c r="G306" s="140">
        <f t="shared" ca="1" si="40"/>
        <v>44742</v>
      </c>
      <c r="H306" s="105">
        <f ca="1">VLOOKUP( $A306, Aop!$A$2:$P$456, 4, 0)</f>
        <v>534</v>
      </c>
      <c r="I306" s="57">
        <f t="shared" ca="1" si="37"/>
        <v>2022</v>
      </c>
      <c r="J306" s="57"/>
      <c r="K306" s="57"/>
      <c r="L306" s="57"/>
      <c r="M306" s="57" t="str">
        <f t="shared" ca="1" si="41"/>
        <v/>
      </c>
      <c r="N306" s="57" t="str">
        <f t="shared" ca="1" si="42"/>
        <v/>
      </c>
    </row>
    <row r="307" spans="1:14">
      <c r="A307" s="105">
        <v>318</v>
      </c>
      <c r="B307" s="105" t="str">
        <f ca="1">VLOOKUP( $A307, Aop!$A$2:$P$456, 2, 0)</f>
        <v>BTG</v>
      </c>
      <c r="C307" s="57">
        <f t="shared" ca="1" si="38"/>
        <v>2</v>
      </c>
      <c r="D307" s="57" t="str">
        <f t="shared" ca="1" si="35"/>
        <v>01111329</v>
      </c>
      <c r="E307" s="57" t="str">
        <f t="shared" ca="1" si="36"/>
        <v>4400692320002</v>
      </c>
      <c r="F307" s="57" t="b">
        <f t="shared" ca="1" si="39"/>
        <v>0</v>
      </c>
      <c r="G307" s="140">
        <f t="shared" ca="1" si="40"/>
        <v>44742</v>
      </c>
      <c r="H307" s="105">
        <f ca="1">VLOOKUP( $A307, Aop!$A$2:$P$456, 4, 0)</f>
        <v>535</v>
      </c>
      <c r="I307" s="57">
        <f t="shared" ca="1" si="37"/>
        <v>2022</v>
      </c>
      <c r="J307" s="57"/>
      <c r="K307" s="57"/>
      <c r="L307" s="57"/>
      <c r="M307" s="57" t="str">
        <f t="shared" ca="1" si="41"/>
        <v/>
      </c>
      <c r="N307" s="57" t="str">
        <f t="shared" ca="1" si="42"/>
        <v/>
      </c>
    </row>
    <row r="308" spans="1:14">
      <c r="A308" s="105">
        <v>319</v>
      </c>
      <c r="B308" s="105" t="str">
        <f ca="1">VLOOKUP( $A308, Aop!$A$2:$P$456, 2, 0)</f>
        <v>BTG</v>
      </c>
      <c r="C308" s="57">
        <f t="shared" ca="1" si="38"/>
        <v>2</v>
      </c>
      <c r="D308" s="57" t="str">
        <f t="shared" ca="1" si="35"/>
        <v>01111329</v>
      </c>
      <c r="E308" s="57" t="str">
        <f t="shared" ca="1" si="36"/>
        <v>4400692320002</v>
      </c>
      <c r="F308" s="57" t="b">
        <f t="shared" ca="1" si="39"/>
        <v>0</v>
      </c>
      <c r="G308" s="140">
        <f t="shared" ca="1" si="40"/>
        <v>44742</v>
      </c>
      <c r="H308" s="105">
        <f ca="1">VLOOKUP( $A308, Aop!$A$2:$P$456, 4, 0)</f>
        <v>536</v>
      </c>
      <c r="I308" s="57">
        <f t="shared" ca="1" si="37"/>
        <v>2022</v>
      </c>
      <c r="J308" s="57"/>
      <c r="K308" s="57"/>
      <c r="L308" s="57"/>
      <c r="M308" s="57" t="str">
        <f t="shared" ca="1" si="41"/>
        <v/>
      </c>
      <c r="N308" s="57" t="str">
        <f t="shared" ca="1" si="42"/>
        <v/>
      </c>
    </row>
    <row r="309" spans="1:14">
      <c r="A309" s="105">
        <v>320</v>
      </c>
      <c r="B309" s="105" t="str">
        <f ca="1">VLOOKUP( $A309, Aop!$A$2:$P$456, 2, 0)</f>
        <v>BTG</v>
      </c>
      <c r="C309" s="57">
        <f t="shared" ca="1" si="38"/>
        <v>2</v>
      </c>
      <c r="D309" s="57" t="str">
        <f t="shared" ca="1" si="35"/>
        <v>01111329</v>
      </c>
      <c r="E309" s="57" t="str">
        <f t="shared" ca="1" si="36"/>
        <v>4400692320002</v>
      </c>
      <c r="F309" s="57" t="b">
        <f t="shared" ca="1" si="39"/>
        <v>0</v>
      </c>
      <c r="G309" s="140">
        <f t="shared" ca="1" si="40"/>
        <v>44742</v>
      </c>
      <c r="H309" s="105">
        <f ca="1">VLOOKUP( $A309, Aop!$A$2:$P$456, 4, 0)</f>
        <v>537</v>
      </c>
      <c r="I309" s="57">
        <f t="shared" ca="1" si="37"/>
        <v>2022</v>
      </c>
      <c r="J309" s="57"/>
      <c r="K309" s="57"/>
      <c r="L309" s="57"/>
      <c r="M309" s="57" t="str">
        <f t="shared" ca="1" si="41"/>
        <v/>
      </c>
      <c r="N309" s="57" t="str">
        <f t="shared" ca="1" si="42"/>
        <v/>
      </c>
    </row>
    <row r="310" spans="1:14">
      <c r="A310" s="105">
        <v>321</v>
      </c>
      <c r="B310" s="105" t="str">
        <f ca="1">VLOOKUP( $A310, Aop!$A$2:$P$456, 2, 0)</f>
        <v>BTG</v>
      </c>
      <c r="C310" s="57">
        <f t="shared" ca="1" si="38"/>
        <v>2</v>
      </c>
      <c r="D310" s="57" t="str">
        <f t="shared" ref="D310:D355" ca="1" si="43">Podatak_MB</f>
        <v>01111329</v>
      </c>
      <c r="E310" s="57" t="str">
        <f t="shared" ref="E310:E355" ca="1" si="44">Podatak_JIB</f>
        <v>4400692320002</v>
      </c>
      <c r="F310" s="57" t="b">
        <f t="shared" ca="1" si="39"/>
        <v>0</v>
      </c>
      <c r="G310" s="140">
        <f t="shared" ca="1" si="40"/>
        <v>44742</v>
      </c>
      <c r="H310" s="105">
        <f ca="1">VLOOKUP( $A310, Aop!$A$2:$P$456, 4, 0)</f>
        <v>538</v>
      </c>
      <c r="I310" s="57">
        <f t="shared" ref="I310:I355" ca="1" si="45">Godina</f>
        <v>2022</v>
      </c>
      <c r="J310" s="57"/>
      <c r="K310" s="57"/>
      <c r="L310" s="57"/>
      <c r="M310" s="57" t="str">
        <f t="shared" ca="1" si="41"/>
        <v/>
      </c>
      <c r="N310" s="57" t="str">
        <f t="shared" ca="1" si="42"/>
        <v/>
      </c>
    </row>
    <row r="311" spans="1:14">
      <c r="A311" s="105">
        <v>322</v>
      </c>
      <c r="B311" s="105" t="str">
        <f ca="1">VLOOKUP( $A311, Aop!$A$2:$P$456, 2, 0)</f>
        <v>BTG</v>
      </c>
      <c r="C311" s="57">
        <f t="shared" ref="C311:C355" ca="1" si="46">ID_Izvjestaj</f>
        <v>2</v>
      </c>
      <c r="D311" s="57" t="str">
        <f t="shared" ca="1" si="43"/>
        <v>01111329</v>
      </c>
      <c r="E311" s="57" t="str">
        <f t="shared" ca="1" si="44"/>
        <v>4400692320002</v>
      </c>
      <c r="F311" s="57" t="b">
        <f t="shared" ref="F311:F355" ca="1" si="47">Konsolidovan_izvjestaj</f>
        <v>0</v>
      </c>
      <c r="G311" s="140">
        <f t="shared" ref="G311:G355" ca="1" si="48">Datum_Broj</f>
        <v>44742</v>
      </c>
      <c r="H311" s="105">
        <f ca="1">VLOOKUP( $A311, Aop!$A$2:$P$456, 4, 0)</f>
        <v>539</v>
      </c>
      <c r="I311" s="57">
        <f t="shared" ca="1" si="45"/>
        <v>2022</v>
      </c>
      <c r="J311" s="57"/>
      <c r="K311" s="57"/>
      <c r="L311" s="57"/>
      <c r="M311" s="57" t="str">
        <f t="shared" ca="1" si="41"/>
        <v/>
      </c>
      <c r="N311" s="57" t="str">
        <f t="shared" ca="1" si="42"/>
        <v/>
      </c>
    </row>
    <row r="312" spans="1:14">
      <c r="A312" s="105">
        <v>323</v>
      </c>
      <c r="B312" s="105" t="str">
        <f ca="1">VLOOKUP( $A312, Aop!$A$2:$P$456, 2, 0)</f>
        <v>BTG</v>
      </c>
      <c r="C312" s="57">
        <f t="shared" ca="1" si="46"/>
        <v>2</v>
      </c>
      <c r="D312" s="57" t="str">
        <f t="shared" ca="1" si="43"/>
        <v>01111329</v>
      </c>
      <c r="E312" s="57" t="str">
        <f t="shared" ca="1" si="44"/>
        <v>4400692320002</v>
      </c>
      <c r="F312" s="57" t="b">
        <f t="shared" ca="1" si="47"/>
        <v>0</v>
      </c>
      <c r="G312" s="140">
        <f t="shared" ca="1" si="48"/>
        <v>44742</v>
      </c>
      <c r="H312" s="105">
        <f ca="1">VLOOKUP( $A312, Aop!$A$2:$P$456, 4, 0)</f>
        <v>540</v>
      </c>
      <c r="I312" s="57">
        <f t="shared" ca="1" si="45"/>
        <v>2022</v>
      </c>
      <c r="J312" s="57"/>
      <c r="K312" s="57"/>
      <c r="L312" s="57"/>
      <c r="M312" s="57" t="str">
        <f t="shared" ca="1" si="41"/>
        <v/>
      </c>
      <c r="N312" s="57" t="str">
        <f t="shared" ca="1" si="42"/>
        <v/>
      </c>
    </row>
    <row r="313" spans="1:14">
      <c r="A313" s="105">
        <v>324</v>
      </c>
      <c r="B313" s="105" t="str">
        <f ca="1">VLOOKUP( $A313, Aop!$A$2:$P$456, 2, 0)</f>
        <v>BTG</v>
      </c>
      <c r="C313" s="57">
        <f t="shared" ca="1" si="46"/>
        <v>2</v>
      </c>
      <c r="D313" s="57" t="str">
        <f t="shared" ca="1" si="43"/>
        <v>01111329</v>
      </c>
      <c r="E313" s="57" t="str">
        <f t="shared" ca="1" si="44"/>
        <v>4400692320002</v>
      </c>
      <c r="F313" s="57" t="b">
        <f t="shared" ca="1" si="47"/>
        <v>0</v>
      </c>
      <c r="G313" s="140">
        <f t="shared" ca="1" si="48"/>
        <v>44742</v>
      </c>
      <c r="H313" s="105">
        <f ca="1">VLOOKUP( $A313, Aop!$A$2:$P$456, 4, 0)</f>
        <v>541</v>
      </c>
      <c r="I313" s="57">
        <f t="shared" ca="1" si="45"/>
        <v>2022</v>
      </c>
      <c r="J313" s="57"/>
      <c r="K313" s="57"/>
      <c r="L313" s="57"/>
      <c r="M313" s="57" t="str">
        <f t="shared" ca="1" si="41"/>
        <v/>
      </c>
      <c r="N313" s="57">
        <f t="shared" ca="1" si="42"/>
        <v>349062</v>
      </c>
    </row>
    <row r="314" spans="1:14">
      <c r="A314" s="105">
        <v>325</v>
      </c>
      <c r="B314" s="105" t="str">
        <f ca="1">VLOOKUP( $A314, Aop!$A$2:$P$456, 2, 0)</f>
        <v>BTG</v>
      </c>
      <c r="C314" s="57">
        <f t="shared" ca="1" si="46"/>
        <v>2</v>
      </c>
      <c r="D314" s="57" t="str">
        <f t="shared" ca="1" si="43"/>
        <v>01111329</v>
      </c>
      <c r="E314" s="57" t="str">
        <f t="shared" ca="1" si="44"/>
        <v>4400692320002</v>
      </c>
      <c r="F314" s="57" t="b">
        <f t="shared" ca="1" si="47"/>
        <v>0</v>
      </c>
      <c r="G314" s="140">
        <f t="shared" ca="1" si="48"/>
        <v>44742</v>
      </c>
      <c r="H314" s="105">
        <f ca="1">VLOOKUP( $A314, Aop!$A$2:$P$456, 4, 0)</f>
        <v>542</v>
      </c>
      <c r="I314" s="57">
        <f t="shared" ca="1" si="45"/>
        <v>2022</v>
      </c>
      <c r="J314" s="57"/>
      <c r="K314" s="57"/>
      <c r="L314" s="57"/>
      <c r="M314" s="57" t="str">
        <f t="shared" ca="1" si="41"/>
        <v/>
      </c>
      <c r="N314" s="57">
        <f t="shared" ca="1" si="42"/>
        <v>16735939</v>
      </c>
    </row>
    <row r="315" spans="1:14">
      <c r="A315" s="105">
        <v>326</v>
      </c>
      <c r="B315" s="105" t="str">
        <f ca="1">VLOOKUP( $A315, Aop!$A$2:$P$456, 2, 0)</f>
        <v>BTG</v>
      </c>
      <c r="C315" s="57">
        <f t="shared" ca="1" si="46"/>
        <v>2</v>
      </c>
      <c r="D315" s="57" t="str">
        <f t="shared" ca="1" si="43"/>
        <v>01111329</v>
      </c>
      <c r="E315" s="57" t="str">
        <f t="shared" ca="1" si="44"/>
        <v>4400692320002</v>
      </c>
      <c r="F315" s="57" t="b">
        <f t="shared" ca="1" si="47"/>
        <v>0</v>
      </c>
      <c r="G315" s="140">
        <f t="shared" ca="1" si="48"/>
        <v>44742</v>
      </c>
      <c r="H315" s="105">
        <f ca="1">VLOOKUP( $A315, Aop!$A$2:$P$456, 4, 0)</f>
        <v>543</v>
      </c>
      <c r="I315" s="57">
        <f t="shared" ca="1" si="45"/>
        <v>2022</v>
      </c>
      <c r="J315" s="57"/>
      <c r="K315" s="57"/>
      <c r="L315" s="57"/>
      <c r="M315" s="57" t="str">
        <f t="shared" ca="1" si="41"/>
        <v/>
      </c>
      <c r="N315" s="57">
        <f t="shared" ca="1" si="42"/>
        <v>0</v>
      </c>
    </row>
    <row r="316" spans="1:14">
      <c r="A316" s="105">
        <v>327</v>
      </c>
      <c r="B316" s="105" t="str">
        <f ca="1">VLOOKUP( $A316, Aop!$A$2:$P$456, 2, 0)</f>
        <v>BTG</v>
      </c>
      <c r="C316" s="57">
        <f t="shared" ca="1" si="46"/>
        <v>2</v>
      </c>
      <c r="D316" s="57" t="str">
        <f t="shared" ca="1" si="43"/>
        <v>01111329</v>
      </c>
      <c r="E316" s="57" t="str">
        <f t="shared" ca="1" si="44"/>
        <v>4400692320002</v>
      </c>
      <c r="F316" s="57" t="b">
        <f t="shared" ca="1" si="47"/>
        <v>0</v>
      </c>
      <c r="G316" s="140">
        <f t="shared" ca="1" si="48"/>
        <v>44742</v>
      </c>
      <c r="H316" s="105">
        <f ca="1">VLOOKUP( $A316, Aop!$A$2:$P$456, 4, 0)</f>
        <v>544</v>
      </c>
      <c r="I316" s="57">
        <f t="shared" ca="1" si="45"/>
        <v>2022</v>
      </c>
      <c r="J316" s="57"/>
      <c r="K316" s="57"/>
      <c r="L316" s="57"/>
      <c r="M316" s="57" t="str">
        <f t="shared" ca="1" si="41"/>
        <v/>
      </c>
      <c r="N316" s="57">
        <f t="shared" ca="1" si="42"/>
        <v>15649283</v>
      </c>
    </row>
    <row r="317" spans="1:14">
      <c r="A317" s="105">
        <v>328</v>
      </c>
      <c r="B317" s="105" t="str">
        <f ca="1">VLOOKUP( $A317, Aop!$A$2:$P$456, 2, 0)</f>
        <v>BTG</v>
      </c>
      <c r="C317" s="57">
        <f t="shared" ca="1" si="46"/>
        <v>2</v>
      </c>
      <c r="D317" s="57" t="str">
        <f t="shared" ca="1" si="43"/>
        <v>01111329</v>
      </c>
      <c r="E317" s="57" t="str">
        <f t="shared" ca="1" si="44"/>
        <v>4400692320002</v>
      </c>
      <c r="F317" s="57" t="b">
        <f t="shared" ca="1" si="47"/>
        <v>0</v>
      </c>
      <c r="G317" s="140">
        <f t="shared" ca="1" si="48"/>
        <v>44742</v>
      </c>
      <c r="H317" s="105">
        <f ca="1">VLOOKUP( $A317, Aop!$A$2:$P$456, 4, 0)</f>
        <v>545</v>
      </c>
      <c r="I317" s="57">
        <f t="shared" ca="1" si="45"/>
        <v>2022</v>
      </c>
      <c r="J317" s="57"/>
      <c r="K317" s="57"/>
      <c r="L317" s="57"/>
      <c r="M317" s="57" t="str">
        <f t="shared" ca="1" si="41"/>
        <v/>
      </c>
      <c r="N317" s="57" t="str">
        <f t="shared" ca="1" si="42"/>
        <v/>
      </c>
    </row>
    <row r="318" spans="1:14">
      <c r="A318" s="105">
        <v>329</v>
      </c>
      <c r="B318" s="105" t="str">
        <f ca="1">VLOOKUP( $A318, Aop!$A$2:$P$456, 2, 0)</f>
        <v>BTG</v>
      </c>
      <c r="C318" s="57">
        <f t="shared" ca="1" si="46"/>
        <v>2</v>
      </c>
      <c r="D318" s="57" t="str">
        <f t="shared" ca="1" si="43"/>
        <v>01111329</v>
      </c>
      <c r="E318" s="57" t="str">
        <f t="shared" ca="1" si="44"/>
        <v>4400692320002</v>
      </c>
      <c r="F318" s="57" t="b">
        <f t="shared" ca="1" si="47"/>
        <v>0</v>
      </c>
      <c r="G318" s="140">
        <f t="shared" ca="1" si="48"/>
        <v>44742</v>
      </c>
      <c r="H318" s="105">
        <f ca="1">VLOOKUP( $A318, Aop!$A$2:$P$456, 4, 0)</f>
        <v>546</v>
      </c>
      <c r="I318" s="57">
        <f t="shared" ca="1" si="45"/>
        <v>2022</v>
      </c>
      <c r="J318" s="57"/>
      <c r="K318" s="57"/>
      <c r="L318" s="57"/>
      <c r="M318" s="57" t="str">
        <f t="shared" ca="1" si="41"/>
        <v/>
      </c>
      <c r="N318" s="57" t="str">
        <f t="shared" ca="1" si="42"/>
        <v/>
      </c>
    </row>
    <row r="319" spans="1:14">
      <c r="A319" s="105">
        <v>330</v>
      </c>
      <c r="B319" s="105" t="str">
        <f ca="1">VLOOKUP( $A319, Aop!$A$2:$P$456, 2, 0)</f>
        <v>BTG</v>
      </c>
      <c r="C319" s="57">
        <f t="shared" ca="1" si="46"/>
        <v>2</v>
      </c>
      <c r="D319" s="57" t="str">
        <f t="shared" ca="1" si="43"/>
        <v>01111329</v>
      </c>
      <c r="E319" s="57" t="str">
        <f t="shared" ca="1" si="44"/>
        <v>4400692320002</v>
      </c>
      <c r="F319" s="57" t="b">
        <f t="shared" ca="1" si="47"/>
        <v>0</v>
      </c>
      <c r="G319" s="140">
        <f t="shared" ca="1" si="48"/>
        <v>44742</v>
      </c>
      <c r="H319" s="105">
        <f ca="1">VLOOKUP( $A319, Aop!$A$2:$P$456, 4, 0)</f>
        <v>547</v>
      </c>
      <c r="I319" s="57">
        <f t="shared" ca="1" si="45"/>
        <v>2022</v>
      </c>
      <c r="J319" s="57"/>
      <c r="K319" s="57"/>
      <c r="L319" s="57"/>
      <c r="M319" s="57" t="str">
        <f t="shared" ca="1" si="41"/>
        <v/>
      </c>
      <c r="N319" s="57" t="str">
        <f t="shared" ca="1" si="42"/>
        <v/>
      </c>
    </row>
    <row r="320" spans="1:14">
      <c r="A320" s="105">
        <v>331</v>
      </c>
      <c r="B320" s="105" t="str">
        <f ca="1">VLOOKUP( $A320, Aop!$A$2:$P$456, 2, 0)</f>
        <v>BTG</v>
      </c>
      <c r="C320" s="57">
        <f t="shared" ca="1" si="46"/>
        <v>2</v>
      </c>
      <c r="D320" s="57" t="str">
        <f t="shared" ca="1" si="43"/>
        <v>01111329</v>
      </c>
      <c r="E320" s="57" t="str">
        <f t="shared" ca="1" si="44"/>
        <v>4400692320002</v>
      </c>
      <c r="F320" s="57" t="b">
        <f t="shared" ca="1" si="47"/>
        <v>0</v>
      </c>
      <c r="G320" s="140">
        <f t="shared" ca="1" si="48"/>
        <v>44742</v>
      </c>
      <c r="H320" s="105">
        <f ca="1">VLOOKUP( $A320, Aop!$A$2:$P$456, 4, 0)</f>
        <v>548</v>
      </c>
      <c r="I320" s="57">
        <f t="shared" ca="1" si="45"/>
        <v>2022</v>
      </c>
      <c r="J320" s="57"/>
      <c r="K320" s="57"/>
      <c r="L320" s="57"/>
      <c r="M320" s="57" t="str">
        <f t="shared" ca="1" si="41"/>
        <v/>
      </c>
      <c r="N320" s="57" t="str">
        <f t="shared" ca="1" si="42"/>
        <v/>
      </c>
    </row>
    <row r="321" spans="1:14">
      <c r="A321" s="105">
        <v>332</v>
      </c>
      <c r="B321" s="105" t="str">
        <f ca="1">VLOOKUP( $A321, Aop!$A$2:$P$456, 2, 0)</f>
        <v>BTG</v>
      </c>
      <c r="C321" s="57">
        <f t="shared" ca="1" si="46"/>
        <v>2</v>
      </c>
      <c r="D321" s="57" t="str">
        <f t="shared" ca="1" si="43"/>
        <v>01111329</v>
      </c>
      <c r="E321" s="57" t="str">
        <f t="shared" ca="1" si="44"/>
        <v>4400692320002</v>
      </c>
      <c r="F321" s="57" t="b">
        <f t="shared" ca="1" si="47"/>
        <v>0</v>
      </c>
      <c r="G321" s="140">
        <f t="shared" ca="1" si="48"/>
        <v>44742</v>
      </c>
      <c r="H321" s="105">
        <f ca="1">VLOOKUP( $A321, Aop!$A$2:$P$456, 4, 0)</f>
        <v>549</v>
      </c>
      <c r="I321" s="57">
        <f t="shared" ca="1" si="45"/>
        <v>2022</v>
      </c>
      <c r="J321" s="57"/>
      <c r="K321" s="57"/>
      <c r="L321" s="57"/>
      <c r="M321" s="57" t="str">
        <f t="shared" ca="1" si="41"/>
        <v/>
      </c>
      <c r="N321" s="57" t="str">
        <f t="shared" ca="1" si="42"/>
        <v/>
      </c>
    </row>
    <row r="322" spans="1:14">
      <c r="A322" s="105">
        <v>333</v>
      </c>
      <c r="B322" s="105" t="str">
        <f ca="1">VLOOKUP( $A322, Aop!$A$2:$P$456, 2, 0)</f>
        <v>BTG</v>
      </c>
      <c r="C322" s="57">
        <f t="shared" ca="1" si="46"/>
        <v>2</v>
      </c>
      <c r="D322" s="57" t="str">
        <f t="shared" ca="1" si="43"/>
        <v>01111329</v>
      </c>
      <c r="E322" s="57" t="str">
        <f t="shared" ca="1" si="44"/>
        <v>4400692320002</v>
      </c>
      <c r="F322" s="57" t="b">
        <f t="shared" ca="1" si="47"/>
        <v>0</v>
      </c>
      <c r="G322" s="140">
        <f t="shared" ca="1" si="48"/>
        <v>44742</v>
      </c>
      <c r="H322" s="105">
        <f ca="1">VLOOKUP( $A322, Aop!$A$2:$P$456, 4, 0)</f>
        <v>550</v>
      </c>
      <c r="I322" s="57">
        <f t="shared" ca="1" si="45"/>
        <v>2022</v>
      </c>
      <c r="J322" s="57"/>
      <c r="K322" s="57"/>
      <c r="L322" s="57"/>
      <c r="M322" s="57" t="str">
        <f t="shared" ca="1" si="41"/>
        <v/>
      </c>
      <c r="N322" s="57">
        <f t="shared" ca="1" si="42"/>
        <v>15649283</v>
      </c>
    </row>
    <row r="323" spans="1:14">
      <c r="A323" s="105">
        <v>334</v>
      </c>
      <c r="B323" s="105" t="str">
        <f ca="1">VLOOKUP( $A323, Aop!$A$2:$P$456, 2, 0)</f>
        <v>BTG</v>
      </c>
      <c r="C323" s="57">
        <f t="shared" ca="1" si="46"/>
        <v>2</v>
      </c>
      <c r="D323" s="57" t="str">
        <f t="shared" ca="1" si="43"/>
        <v>01111329</v>
      </c>
      <c r="E323" s="57" t="str">
        <f t="shared" ca="1" si="44"/>
        <v>4400692320002</v>
      </c>
      <c r="F323" s="57" t="b">
        <f t="shared" ca="1" si="47"/>
        <v>0</v>
      </c>
      <c r="G323" s="140">
        <f t="shared" ca="1" si="48"/>
        <v>44742</v>
      </c>
      <c r="H323" s="105">
        <f ca="1">VLOOKUP( $A323, Aop!$A$2:$P$456, 4, 0)</f>
        <v>551</v>
      </c>
      <c r="I323" s="57">
        <f t="shared" ca="1" si="45"/>
        <v>2022</v>
      </c>
      <c r="J323" s="57"/>
      <c r="K323" s="57"/>
      <c r="L323" s="57"/>
      <c r="M323" s="57" t="str">
        <f t="shared" ref="M323:M380" ca="1" si="49">IF( VLOOKUP( $H323, INDIRECT( "Lookup_" &amp; $B323), IF( LEFT( $B323, 2) = "BS", S$2, S$1), 0) = "", "", VLOOKUP( $H323, INDIRECT( "Lookup_" &amp; $B323), IF( LEFT( $B323, 2) = "BS", S$2, S$1), 0))</f>
        <v/>
      </c>
      <c r="N323" s="57">
        <f t="shared" ref="N323:N380" ca="1" si="50">IF( VLOOKUP( $H323, INDIRECT( "Lookup_" &amp; $B323), IF( LEFT( $B323, 2) = "BS", T$2, T$1), 0) = "", "", VLOOKUP( $H323, INDIRECT( "Lookup_" &amp; $B323), IF( LEFT( $B323, 2) = "BS", T$2, T$1), 0))</f>
        <v>15059913</v>
      </c>
    </row>
    <row r="324" spans="1:14">
      <c r="A324" s="105">
        <v>335</v>
      </c>
      <c r="B324" s="105" t="str">
        <f ca="1">VLOOKUP( $A324, Aop!$A$2:$P$456, 2, 0)</f>
        <v>BTG</v>
      </c>
      <c r="C324" s="57">
        <f t="shared" ca="1" si="46"/>
        <v>2</v>
      </c>
      <c r="D324" s="57" t="str">
        <f t="shared" ca="1" si="43"/>
        <v>01111329</v>
      </c>
      <c r="E324" s="57" t="str">
        <f t="shared" ca="1" si="44"/>
        <v>4400692320002</v>
      </c>
      <c r="F324" s="57" t="b">
        <f t="shared" ca="1" si="47"/>
        <v>0</v>
      </c>
      <c r="G324" s="140">
        <f t="shared" ca="1" si="48"/>
        <v>44742</v>
      </c>
      <c r="H324" s="105">
        <f ca="1">VLOOKUP( $A324, Aop!$A$2:$P$456, 4, 0)</f>
        <v>552</v>
      </c>
      <c r="I324" s="57">
        <f t="shared" ca="1" si="45"/>
        <v>2022</v>
      </c>
      <c r="J324" s="57"/>
      <c r="K324" s="57"/>
      <c r="L324" s="57"/>
      <c r="M324" s="57" t="str">
        <f t="shared" ca="1" si="49"/>
        <v/>
      </c>
      <c r="N324" s="57" t="str">
        <f t="shared" ca="1" si="50"/>
        <v/>
      </c>
    </row>
    <row r="325" spans="1:14">
      <c r="A325" s="105">
        <v>336</v>
      </c>
      <c r="B325" s="105" t="str">
        <f ca="1">VLOOKUP( $A325, Aop!$A$2:$P$456, 2, 0)</f>
        <v>BTG</v>
      </c>
      <c r="C325" s="57">
        <f t="shared" ca="1" si="46"/>
        <v>2</v>
      </c>
      <c r="D325" s="57" t="str">
        <f t="shared" ca="1" si="43"/>
        <v>01111329</v>
      </c>
      <c r="E325" s="57" t="str">
        <f t="shared" ca="1" si="44"/>
        <v>4400692320002</v>
      </c>
      <c r="F325" s="57" t="b">
        <f t="shared" ca="1" si="47"/>
        <v>0</v>
      </c>
      <c r="G325" s="140">
        <f t="shared" ca="1" si="48"/>
        <v>44742</v>
      </c>
      <c r="H325" s="105">
        <f ca="1">VLOOKUP( $A325, Aop!$A$2:$P$456, 4, 0)</f>
        <v>553</v>
      </c>
      <c r="I325" s="57">
        <f t="shared" ca="1" si="45"/>
        <v>2022</v>
      </c>
      <c r="J325" s="57"/>
      <c r="K325" s="57"/>
      <c r="L325" s="57"/>
      <c r="M325" s="57" t="str">
        <f t="shared" ca="1" si="49"/>
        <v/>
      </c>
      <c r="N325" s="57" t="str">
        <f t="shared" ca="1" si="50"/>
        <v/>
      </c>
    </row>
    <row r="326" spans="1:14">
      <c r="A326" s="105">
        <v>337</v>
      </c>
      <c r="B326" s="105" t="str">
        <f ca="1">VLOOKUP( $A326, Aop!$A$2:$P$456, 2, 0)</f>
        <v>BTG</v>
      </c>
      <c r="C326" s="57">
        <f t="shared" ca="1" si="46"/>
        <v>2</v>
      </c>
      <c r="D326" s="57" t="str">
        <f t="shared" ca="1" si="43"/>
        <v>01111329</v>
      </c>
      <c r="E326" s="57" t="str">
        <f t="shared" ca="1" si="44"/>
        <v>4400692320002</v>
      </c>
      <c r="F326" s="57" t="b">
        <f t="shared" ca="1" si="47"/>
        <v>0</v>
      </c>
      <c r="G326" s="140">
        <f t="shared" ca="1" si="48"/>
        <v>44742</v>
      </c>
      <c r="H326" s="105">
        <f ca="1">VLOOKUP( $A326, Aop!$A$2:$P$456, 4, 0)</f>
        <v>554</v>
      </c>
      <c r="I326" s="57">
        <f t="shared" ca="1" si="45"/>
        <v>2022</v>
      </c>
      <c r="J326" s="57"/>
      <c r="K326" s="57"/>
      <c r="L326" s="57"/>
      <c r="M326" s="57" t="str">
        <f t="shared" ca="1" si="49"/>
        <v/>
      </c>
      <c r="N326" s="57" t="str">
        <f t="shared" ca="1" si="50"/>
        <v/>
      </c>
    </row>
    <row r="327" spans="1:14">
      <c r="A327" s="105">
        <v>338</v>
      </c>
      <c r="B327" s="105" t="str">
        <f ca="1">VLOOKUP( $A327, Aop!$A$2:$P$456, 2, 0)</f>
        <v>BTG</v>
      </c>
      <c r="C327" s="57">
        <f t="shared" ca="1" si="46"/>
        <v>2</v>
      </c>
      <c r="D327" s="57" t="str">
        <f t="shared" ca="1" si="43"/>
        <v>01111329</v>
      </c>
      <c r="E327" s="57" t="str">
        <f t="shared" ca="1" si="44"/>
        <v>4400692320002</v>
      </c>
      <c r="F327" s="57" t="b">
        <f t="shared" ca="1" si="47"/>
        <v>0</v>
      </c>
      <c r="G327" s="140">
        <f t="shared" ca="1" si="48"/>
        <v>44742</v>
      </c>
      <c r="H327" s="105">
        <f ca="1">VLOOKUP( $A327, Aop!$A$2:$P$456, 4, 0)</f>
        <v>555</v>
      </c>
      <c r="I327" s="57">
        <f t="shared" ca="1" si="45"/>
        <v>2022</v>
      </c>
      <c r="J327" s="57"/>
      <c r="K327" s="57"/>
      <c r="L327" s="57"/>
      <c r="M327" s="57" t="str">
        <f t="shared" ca="1" si="49"/>
        <v/>
      </c>
      <c r="N327" s="57" t="str">
        <f t="shared" ca="1" si="50"/>
        <v/>
      </c>
    </row>
    <row r="328" spans="1:14">
      <c r="A328" s="105">
        <v>339</v>
      </c>
      <c r="B328" s="105" t="str">
        <f ca="1">VLOOKUP( $A328, Aop!$A$2:$P$456, 2, 0)</f>
        <v>BTG</v>
      </c>
      <c r="C328" s="57">
        <f t="shared" ca="1" si="46"/>
        <v>2</v>
      </c>
      <c r="D328" s="57" t="str">
        <f t="shared" ca="1" si="43"/>
        <v>01111329</v>
      </c>
      <c r="E328" s="57" t="str">
        <f t="shared" ca="1" si="44"/>
        <v>4400692320002</v>
      </c>
      <c r="F328" s="57" t="b">
        <f t="shared" ca="1" si="47"/>
        <v>0</v>
      </c>
      <c r="G328" s="140">
        <f t="shared" ca="1" si="48"/>
        <v>44742</v>
      </c>
      <c r="H328" s="105">
        <f ca="1">VLOOKUP( $A328, Aop!$A$2:$P$456, 4, 0)</f>
        <v>556</v>
      </c>
      <c r="I328" s="57">
        <f t="shared" ca="1" si="45"/>
        <v>2022</v>
      </c>
      <c r="J328" s="57"/>
      <c r="K328" s="57"/>
      <c r="L328" s="57"/>
      <c r="M328" s="57" t="str">
        <f t="shared" ca="1" si="49"/>
        <v/>
      </c>
      <c r="N328" s="57" t="str">
        <f t="shared" ca="1" si="50"/>
        <v/>
      </c>
    </row>
    <row r="329" spans="1:14">
      <c r="A329" s="105">
        <v>340</v>
      </c>
      <c r="B329" s="105" t="str">
        <f ca="1">VLOOKUP( $A329, Aop!$A$2:$P$456, 2, 0)</f>
        <v>BTG</v>
      </c>
      <c r="C329" s="57">
        <f t="shared" ca="1" si="46"/>
        <v>2</v>
      </c>
      <c r="D329" s="57" t="str">
        <f t="shared" ca="1" si="43"/>
        <v>01111329</v>
      </c>
      <c r="E329" s="57" t="str">
        <f t="shared" ca="1" si="44"/>
        <v>4400692320002</v>
      </c>
      <c r="F329" s="57" t="b">
        <f t="shared" ca="1" si="47"/>
        <v>0</v>
      </c>
      <c r="G329" s="140">
        <f t="shared" ca="1" si="48"/>
        <v>44742</v>
      </c>
      <c r="H329" s="105">
        <f ca="1">VLOOKUP( $A329, Aop!$A$2:$P$456, 4, 0)</f>
        <v>557</v>
      </c>
      <c r="I329" s="57">
        <f t="shared" ca="1" si="45"/>
        <v>2022</v>
      </c>
      <c r="J329" s="57"/>
      <c r="K329" s="57"/>
      <c r="L329" s="57"/>
      <c r="M329" s="57" t="str">
        <f t="shared" ca="1" si="49"/>
        <v/>
      </c>
      <c r="N329" s="57">
        <f t="shared" ca="1" si="50"/>
        <v>14710851</v>
      </c>
    </row>
    <row r="330" spans="1:14">
      <c r="A330" s="105">
        <v>341</v>
      </c>
      <c r="B330" s="105" t="str">
        <f ca="1">VLOOKUP( $A330, Aop!$A$2:$P$456, 2, 0)</f>
        <v>BTG</v>
      </c>
      <c r="C330" s="57">
        <f t="shared" ca="1" si="46"/>
        <v>2</v>
      </c>
      <c r="D330" s="57" t="str">
        <f t="shared" ca="1" si="43"/>
        <v>01111329</v>
      </c>
      <c r="E330" s="57" t="str">
        <f t="shared" ca="1" si="44"/>
        <v>4400692320002</v>
      </c>
      <c r="F330" s="57" t="b">
        <f t="shared" ca="1" si="47"/>
        <v>0</v>
      </c>
      <c r="G330" s="140">
        <f t="shared" ca="1" si="48"/>
        <v>44742</v>
      </c>
      <c r="H330" s="105">
        <f ca="1">VLOOKUP( $A330, Aop!$A$2:$P$456, 4, 0)</f>
        <v>558</v>
      </c>
      <c r="I330" s="57">
        <f t="shared" ca="1" si="45"/>
        <v>2022</v>
      </c>
      <c r="J330" s="57"/>
      <c r="K330" s="57"/>
      <c r="L330" s="57"/>
      <c r="M330" s="57" t="str">
        <f t="shared" ca="1" si="49"/>
        <v/>
      </c>
      <c r="N330" s="57">
        <f t="shared" ca="1" si="50"/>
        <v>349062</v>
      </c>
    </row>
    <row r="331" spans="1:14">
      <c r="A331" s="105">
        <v>342</v>
      </c>
      <c r="B331" s="105" t="str">
        <f ca="1">VLOOKUP( $A331, Aop!$A$2:$P$456, 2, 0)</f>
        <v>BTG</v>
      </c>
      <c r="C331" s="57">
        <f t="shared" ca="1" si="46"/>
        <v>2</v>
      </c>
      <c r="D331" s="57" t="str">
        <f t="shared" ca="1" si="43"/>
        <v>01111329</v>
      </c>
      <c r="E331" s="57" t="str">
        <f t="shared" ca="1" si="44"/>
        <v>4400692320002</v>
      </c>
      <c r="F331" s="57" t="b">
        <f t="shared" ca="1" si="47"/>
        <v>0</v>
      </c>
      <c r="G331" s="140">
        <f t="shared" ca="1" si="48"/>
        <v>44742</v>
      </c>
      <c r="H331" s="105">
        <f ca="1">VLOOKUP( $A331, Aop!$A$2:$P$456, 4, 0)</f>
        <v>559</v>
      </c>
      <c r="I331" s="57">
        <f t="shared" ca="1" si="45"/>
        <v>2022</v>
      </c>
      <c r="J331" s="57"/>
      <c r="K331" s="57"/>
      <c r="L331" s="57"/>
      <c r="M331" s="57" t="str">
        <f t="shared" ca="1" si="49"/>
        <v/>
      </c>
      <c r="N331" s="57">
        <f t="shared" ca="1" si="50"/>
        <v>589370</v>
      </c>
    </row>
    <row r="332" spans="1:14">
      <c r="A332" s="105">
        <v>343</v>
      </c>
      <c r="B332" s="105" t="str">
        <f ca="1">VLOOKUP( $A332, Aop!$A$2:$P$456, 2, 0)</f>
        <v>BTG</v>
      </c>
      <c r="C332" s="57">
        <f t="shared" ca="1" si="46"/>
        <v>2</v>
      </c>
      <c r="D332" s="57" t="str">
        <f t="shared" ca="1" si="43"/>
        <v>01111329</v>
      </c>
      <c r="E332" s="57" t="str">
        <f t="shared" ca="1" si="44"/>
        <v>4400692320002</v>
      </c>
      <c r="F332" s="57" t="b">
        <f t="shared" ca="1" si="47"/>
        <v>0</v>
      </c>
      <c r="G332" s="140">
        <f t="shared" ca="1" si="48"/>
        <v>44742</v>
      </c>
      <c r="H332" s="105">
        <f ca="1">VLOOKUP( $A332, Aop!$A$2:$P$456, 4, 0)</f>
        <v>560</v>
      </c>
      <c r="I332" s="57">
        <f t="shared" ca="1" si="45"/>
        <v>2022</v>
      </c>
      <c r="J332" s="57"/>
      <c r="K332" s="57"/>
      <c r="L332" s="57"/>
      <c r="M332" s="57" t="str">
        <f t="shared" ca="1" si="49"/>
        <v/>
      </c>
      <c r="N332" s="57">
        <f t="shared" ca="1" si="50"/>
        <v>0</v>
      </c>
    </row>
    <row r="333" spans="1:14">
      <c r="A333" s="105">
        <v>344</v>
      </c>
      <c r="B333" s="105" t="str">
        <f ca="1">VLOOKUP( $A333, Aop!$A$2:$P$456, 2, 0)</f>
        <v>BTG</v>
      </c>
      <c r="C333" s="57">
        <f t="shared" ca="1" si="46"/>
        <v>2</v>
      </c>
      <c r="D333" s="57" t="str">
        <f t="shared" ca="1" si="43"/>
        <v>01111329</v>
      </c>
      <c r="E333" s="57" t="str">
        <f t="shared" ca="1" si="44"/>
        <v>4400692320002</v>
      </c>
      <c r="F333" s="57" t="b">
        <f t="shared" ca="1" si="47"/>
        <v>0</v>
      </c>
      <c r="G333" s="140">
        <f t="shared" ca="1" si="48"/>
        <v>44742</v>
      </c>
      <c r="H333" s="105">
        <f ca="1">VLOOKUP( $A333, Aop!$A$2:$P$456, 4, 0)</f>
        <v>561</v>
      </c>
      <c r="I333" s="57">
        <f t="shared" ca="1" si="45"/>
        <v>2022</v>
      </c>
      <c r="J333" s="57"/>
      <c r="K333" s="57"/>
      <c r="L333" s="57"/>
      <c r="M333" s="57" t="str">
        <f t="shared" ca="1" si="49"/>
        <v/>
      </c>
      <c r="N333" s="57">
        <f t="shared" ca="1" si="50"/>
        <v>34256450</v>
      </c>
    </row>
    <row r="334" spans="1:14">
      <c r="A334" s="105">
        <v>345</v>
      </c>
      <c r="B334" s="105" t="str">
        <f ca="1">VLOOKUP( $A334, Aop!$A$2:$P$456, 2, 0)</f>
        <v>BTG</v>
      </c>
      <c r="C334" s="57">
        <f t="shared" ca="1" si="46"/>
        <v>2</v>
      </c>
      <c r="D334" s="57" t="str">
        <f t="shared" ca="1" si="43"/>
        <v>01111329</v>
      </c>
      <c r="E334" s="57" t="str">
        <f t="shared" ca="1" si="44"/>
        <v>4400692320002</v>
      </c>
      <c r="F334" s="57" t="b">
        <f t="shared" ca="1" si="47"/>
        <v>0</v>
      </c>
      <c r="G334" s="140">
        <f t="shared" ca="1" si="48"/>
        <v>44742</v>
      </c>
      <c r="H334" s="105">
        <f ca="1">VLOOKUP( $A334, Aop!$A$2:$P$456, 4, 0)</f>
        <v>562</v>
      </c>
      <c r="I334" s="57">
        <f t="shared" ca="1" si="45"/>
        <v>2022</v>
      </c>
      <c r="J334" s="57"/>
      <c r="K334" s="57"/>
      <c r="L334" s="57"/>
      <c r="M334" s="57" t="str">
        <f t="shared" ca="1" si="49"/>
        <v/>
      </c>
      <c r="N334" s="57">
        <f t="shared" ca="1" si="50"/>
        <v>17445268</v>
      </c>
    </row>
    <row r="335" spans="1:14">
      <c r="A335" s="105">
        <v>346</v>
      </c>
      <c r="B335" s="105" t="str">
        <f ca="1">VLOOKUP( $A335, Aop!$A$2:$P$456, 2, 0)</f>
        <v>BTG</v>
      </c>
      <c r="C335" s="57">
        <f t="shared" ca="1" si="46"/>
        <v>2</v>
      </c>
      <c r="D335" s="57" t="str">
        <f t="shared" ca="1" si="43"/>
        <v>01111329</v>
      </c>
      <c r="E335" s="57" t="str">
        <f t="shared" ca="1" si="44"/>
        <v>4400692320002</v>
      </c>
      <c r="F335" s="57" t="b">
        <f t="shared" ca="1" si="47"/>
        <v>0</v>
      </c>
      <c r="G335" s="140">
        <f t="shared" ca="1" si="48"/>
        <v>44742</v>
      </c>
      <c r="H335" s="105">
        <f ca="1">VLOOKUP( $A335, Aop!$A$2:$P$456, 4, 0)</f>
        <v>563</v>
      </c>
      <c r="I335" s="57">
        <f t="shared" ca="1" si="45"/>
        <v>2022</v>
      </c>
      <c r="J335" s="57"/>
      <c r="K335" s="57"/>
      <c r="L335" s="57"/>
      <c r="M335" s="57" t="str">
        <f t="shared" ca="1" si="49"/>
        <v/>
      </c>
      <c r="N335" s="57">
        <f t="shared" ca="1" si="50"/>
        <v>16811182</v>
      </c>
    </row>
    <row r="336" spans="1:14">
      <c r="A336" s="105">
        <v>347</v>
      </c>
      <c r="B336" s="105" t="str">
        <f ca="1">VLOOKUP( $A336, Aop!$A$2:$P$456, 2, 0)</f>
        <v>BTG</v>
      </c>
      <c r="C336" s="57">
        <f t="shared" ca="1" si="46"/>
        <v>2</v>
      </c>
      <c r="D336" s="57" t="str">
        <f t="shared" ca="1" si="43"/>
        <v>01111329</v>
      </c>
      <c r="E336" s="57" t="str">
        <f t="shared" ca="1" si="44"/>
        <v>4400692320002</v>
      </c>
      <c r="F336" s="57" t="b">
        <f t="shared" ca="1" si="47"/>
        <v>0</v>
      </c>
      <c r="G336" s="140">
        <f t="shared" ca="1" si="48"/>
        <v>44742</v>
      </c>
      <c r="H336" s="105">
        <f ca="1">VLOOKUP( $A336, Aop!$A$2:$P$456, 4, 0)</f>
        <v>564</v>
      </c>
      <c r="I336" s="57">
        <f t="shared" ca="1" si="45"/>
        <v>2022</v>
      </c>
      <c r="J336" s="57"/>
      <c r="K336" s="57"/>
      <c r="L336" s="57"/>
      <c r="M336" s="57" t="str">
        <f t="shared" ca="1" si="49"/>
        <v/>
      </c>
      <c r="N336" s="57">
        <f t="shared" ca="1" si="50"/>
        <v>0</v>
      </c>
    </row>
    <row r="337" spans="1:14">
      <c r="A337" s="105">
        <v>348</v>
      </c>
      <c r="B337" s="105" t="str">
        <f ca="1">VLOOKUP( $A337, Aop!$A$2:$P$456, 2, 0)</f>
        <v>BTG</v>
      </c>
      <c r="C337" s="57">
        <f t="shared" ca="1" si="46"/>
        <v>2</v>
      </c>
      <c r="D337" s="57" t="str">
        <f t="shared" ca="1" si="43"/>
        <v>01111329</v>
      </c>
      <c r="E337" s="57" t="str">
        <f t="shared" ca="1" si="44"/>
        <v>4400692320002</v>
      </c>
      <c r="F337" s="57" t="b">
        <f t="shared" ca="1" si="47"/>
        <v>0</v>
      </c>
      <c r="G337" s="140">
        <f t="shared" ca="1" si="48"/>
        <v>44742</v>
      </c>
      <c r="H337" s="105">
        <f ca="1">VLOOKUP( $A337, Aop!$A$2:$P$456, 4, 0)</f>
        <v>565</v>
      </c>
      <c r="I337" s="57">
        <f t="shared" ca="1" si="45"/>
        <v>2022</v>
      </c>
      <c r="J337" s="57"/>
      <c r="K337" s="57"/>
      <c r="L337" s="57"/>
      <c r="M337" s="57" t="str">
        <f t="shared" ca="1" si="49"/>
        <v/>
      </c>
      <c r="N337" s="57">
        <f t="shared" ca="1" si="50"/>
        <v>1877593</v>
      </c>
    </row>
    <row r="338" spans="1:14">
      <c r="A338" s="105">
        <v>349</v>
      </c>
      <c r="B338" s="105" t="str">
        <f ca="1">VLOOKUP( $A338, Aop!$A$2:$P$456, 2, 0)</f>
        <v>BTG</v>
      </c>
      <c r="C338" s="57">
        <f t="shared" ca="1" si="46"/>
        <v>2</v>
      </c>
      <c r="D338" s="57" t="str">
        <f t="shared" ca="1" si="43"/>
        <v>01111329</v>
      </c>
      <c r="E338" s="57" t="str">
        <f t="shared" ca="1" si="44"/>
        <v>4400692320002</v>
      </c>
      <c r="F338" s="57" t="b">
        <f t="shared" ca="1" si="47"/>
        <v>0</v>
      </c>
      <c r="G338" s="140">
        <f t="shared" ca="1" si="48"/>
        <v>44742</v>
      </c>
      <c r="H338" s="105">
        <f ca="1">VLOOKUP( $A338, Aop!$A$2:$P$456, 4, 0)</f>
        <v>566</v>
      </c>
      <c r="I338" s="57">
        <f t="shared" ca="1" si="45"/>
        <v>2022</v>
      </c>
      <c r="J338" s="57"/>
      <c r="K338" s="57"/>
      <c r="L338" s="57"/>
      <c r="M338" s="57" t="str">
        <f t="shared" ca="1" si="49"/>
        <v/>
      </c>
      <c r="N338" s="57" t="str">
        <f t="shared" ca="1" si="50"/>
        <v/>
      </c>
    </row>
    <row r="339" spans="1:14">
      <c r="A339" s="105">
        <v>350</v>
      </c>
      <c r="B339" s="105" t="str">
        <f ca="1">VLOOKUP( $A339, Aop!$A$2:$P$456, 2, 0)</f>
        <v>BTG</v>
      </c>
      <c r="C339" s="57">
        <f t="shared" ca="1" si="46"/>
        <v>2</v>
      </c>
      <c r="D339" s="57" t="str">
        <f t="shared" ca="1" si="43"/>
        <v>01111329</v>
      </c>
      <c r="E339" s="57" t="str">
        <f t="shared" ca="1" si="44"/>
        <v>4400692320002</v>
      </c>
      <c r="F339" s="57" t="b">
        <f t="shared" ca="1" si="47"/>
        <v>0</v>
      </c>
      <c r="G339" s="140">
        <f t="shared" ca="1" si="48"/>
        <v>44742</v>
      </c>
      <c r="H339" s="105">
        <f ca="1">VLOOKUP( $A339, Aop!$A$2:$P$456, 4, 0)</f>
        <v>567</v>
      </c>
      <c r="I339" s="57">
        <f t="shared" ca="1" si="45"/>
        <v>2022</v>
      </c>
      <c r="J339" s="57"/>
      <c r="K339" s="57"/>
      <c r="L339" s="57"/>
      <c r="M339" s="57" t="str">
        <f t="shared" ca="1" si="49"/>
        <v/>
      </c>
      <c r="N339" s="57" t="str">
        <f t="shared" ca="1" si="50"/>
        <v/>
      </c>
    </row>
    <row r="340" spans="1:14">
      <c r="A340" s="105">
        <v>351</v>
      </c>
      <c r="B340" s="105" t="str">
        <f ca="1">VLOOKUP( $A340, Aop!$A$2:$P$456, 2, 0)</f>
        <v>BTG</v>
      </c>
      <c r="C340" s="57">
        <f t="shared" ca="1" si="46"/>
        <v>2</v>
      </c>
      <c r="D340" s="57" t="str">
        <f t="shared" ca="1" si="43"/>
        <v>01111329</v>
      </c>
      <c r="E340" s="57" t="str">
        <f t="shared" ca="1" si="44"/>
        <v>4400692320002</v>
      </c>
      <c r="F340" s="57" t="b">
        <f t="shared" ca="1" si="47"/>
        <v>0</v>
      </c>
      <c r="G340" s="140">
        <f t="shared" ca="1" si="48"/>
        <v>44742</v>
      </c>
      <c r="H340" s="105">
        <f ca="1">VLOOKUP( $A340, Aop!$A$2:$P$456, 4, 0)</f>
        <v>568</v>
      </c>
      <c r="I340" s="57">
        <f t="shared" ca="1" si="45"/>
        <v>2022</v>
      </c>
      <c r="J340" s="57"/>
      <c r="K340" s="57"/>
      <c r="L340" s="57"/>
      <c r="M340" s="57" t="str">
        <f t="shared" ca="1" si="49"/>
        <v/>
      </c>
      <c r="N340" s="57">
        <f t="shared" ca="1" si="50"/>
        <v>18688775</v>
      </c>
    </row>
    <row r="341" spans="1:14">
      <c r="A341" s="105">
        <v>352</v>
      </c>
      <c r="B341" s="57" t="str">
        <f ca="1">VLOOKUP( $A341, Aop!$A$2:$P$456, 2, 0)</f>
        <v>Aneks</v>
      </c>
      <c r="C341" s="57">
        <f ca="1">ID_Izvjestaj</f>
        <v>2</v>
      </c>
      <c r="D341" s="57" t="str">
        <f ca="1">Podatak_MB</f>
        <v>01111329</v>
      </c>
      <c r="E341" s="57" t="str">
        <f ca="1">Podatak_JIB</f>
        <v>4400692320002</v>
      </c>
      <c r="F341" s="57" t="b">
        <f ca="1">Konsolidovan_izvjestaj</f>
        <v>0</v>
      </c>
      <c r="G341" s="140">
        <f ca="1">Datum_Broj</f>
        <v>44742</v>
      </c>
      <c r="H341" s="57">
        <f ca="1">VLOOKUP( $A341, Aop!$A$2:$P$456, 4, 0)</f>
        <v>601</v>
      </c>
      <c r="I341" s="57">
        <f ca="1">Godina</f>
        <v>2022</v>
      </c>
      <c r="J341" s="57"/>
      <c r="K341" s="57"/>
      <c r="L341" s="57"/>
      <c r="M341" s="57" t="str">
        <f t="shared" ca="1" si="49"/>
        <v/>
      </c>
      <c r="N341" s="57" t="str">
        <f t="shared" ca="1" si="50"/>
        <v/>
      </c>
    </row>
    <row r="342" spans="1:14">
      <c r="A342" s="105">
        <v>353</v>
      </c>
      <c r="B342" s="105" t="str">
        <f ca="1">VLOOKUP( $A342, Aop!$A$2:$P$456, 2, 0)</f>
        <v>Aneks</v>
      </c>
      <c r="C342" s="57">
        <f t="shared" ca="1" si="46"/>
        <v>2</v>
      </c>
      <c r="D342" s="57" t="str">
        <f t="shared" ca="1" si="43"/>
        <v>01111329</v>
      </c>
      <c r="E342" s="57" t="str">
        <f t="shared" ca="1" si="44"/>
        <v>4400692320002</v>
      </c>
      <c r="F342" s="57" t="b">
        <f t="shared" ca="1" si="47"/>
        <v>0</v>
      </c>
      <c r="G342" s="140">
        <f t="shared" ca="1" si="48"/>
        <v>44742</v>
      </c>
      <c r="H342" s="105">
        <f ca="1">VLOOKUP( $A342, Aop!$A$2:$P$456, 4, 0)</f>
        <v>602</v>
      </c>
      <c r="I342" s="57">
        <f t="shared" ca="1" si="45"/>
        <v>2022</v>
      </c>
      <c r="J342" s="57"/>
      <c r="K342" s="57"/>
      <c r="L342" s="57"/>
      <c r="M342" s="57">
        <f t="shared" ca="1" si="49"/>
        <v>1012834</v>
      </c>
      <c r="N342" s="57">
        <f t="shared" ca="1" si="50"/>
        <v>573010</v>
      </c>
    </row>
    <row r="343" spans="1:14">
      <c r="A343" s="105">
        <v>354</v>
      </c>
      <c r="B343" s="105" t="str">
        <f ca="1">VLOOKUP( $A343, Aop!$A$2:$P$456, 2, 0)</f>
        <v>Aneks</v>
      </c>
      <c r="C343" s="57">
        <f t="shared" ca="1" si="46"/>
        <v>2</v>
      </c>
      <c r="D343" s="57" t="str">
        <f t="shared" ca="1" si="43"/>
        <v>01111329</v>
      </c>
      <c r="E343" s="57" t="str">
        <f t="shared" ca="1" si="44"/>
        <v>4400692320002</v>
      </c>
      <c r="F343" s="57" t="b">
        <f t="shared" ca="1" si="47"/>
        <v>0</v>
      </c>
      <c r="G343" s="140">
        <f t="shared" ca="1" si="48"/>
        <v>44742</v>
      </c>
      <c r="H343" s="105">
        <f ca="1">VLOOKUP( $A343, Aop!$A$2:$P$456, 4, 0)</f>
        <v>603</v>
      </c>
      <c r="I343" s="57">
        <f t="shared" ca="1" si="45"/>
        <v>2022</v>
      </c>
      <c r="J343" s="57"/>
      <c r="K343" s="57"/>
      <c r="L343" s="57"/>
      <c r="M343" s="57">
        <f t="shared" ca="1" si="49"/>
        <v>25752</v>
      </c>
      <c r="N343" s="57" t="str">
        <f t="shared" ca="1" si="50"/>
        <v/>
      </c>
    </row>
    <row r="344" spans="1:14">
      <c r="A344" s="105">
        <v>355</v>
      </c>
      <c r="B344" s="105" t="str">
        <f ca="1">VLOOKUP( $A344, Aop!$A$2:$P$456, 2, 0)</f>
        <v>Aneks</v>
      </c>
      <c r="C344" s="57">
        <f t="shared" ca="1" si="46"/>
        <v>2</v>
      </c>
      <c r="D344" s="57" t="str">
        <f t="shared" ca="1" si="43"/>
        <v>01111329</v>
      </c>
      <c r="E344" s="57" t="str">
        <f t="shared" ca="1" si="44"/>
        <v>4400692320002</v>
      </c>
      <c r="F344" s="57" t="b">
        <f t="shared" ca="1" si="47"/>
        <v>0</v>
      </c>
      <c r="G344" s="140">
        <f t="shared" ca="1" si="48"/>
        <v>44742</v>
      </c>
      <c r="H344" s="105">
        <f ca="1">VLOOKUP( $A344, Aop!$A$2:$P$456, 4, 0)</f>
        <v>604</v>
      </c>
      <c r="I344" s="57">
        <f t="shared" ca="1" si="45"/>
        <v>2022</v>
      </c>
      <c r="J344" s="57"/>
      <c r="K344" s="57"/>
      <c r="L344" s="57"/>
      <c r="M344" s="57" t="str">
        <f t="shared" ca="1" si="49"/>
        <v/>
      </c>
      <c r="N344" s="57" t="str">
        <f t="shared" ca="1" si="50"/>
        <v/>
      </c>
    </row>
    <row r="345" spans="1:14">
      <c r="A345" s="105">
        <v>356</v>
      </c>
      <c r="B345" s="105" t="str">
        <f ca="1">VLOOKUP( $A345, Aop!$A$2:$P$456, 2, 0)</f>
        <v>Aneks</v>
      </c>
      <c r="C345" s="57">
        <f t="shared" ca="1" si="46"/>
        <v>2</v>
      </c>
      <c r="D345" s="57" t="str">
        <f t="shared" ca="1" si="43"/>
        <v>01111329</v>
      </c>
      <c r="E345" s="57" t="str">
        <f t="shared" ca="1" si="44"/>
        <v>4400692320002</v>
      </c>
      <c r="F345" s="57" t="b">
        <f t="shared" ca="1" si="47"/>
        <v>0</v>
      </c>
      <c r="G345" s="140">
        <f t="shared" ca="1" si="48"/>
        <v>44742</v>
      </c>
      <c r="H345" s="105">
        <f ca="1">VLOOKUP( $A345, Aop!$A$2:$P$456, 4, 0)</f>
        <v>605</v>
      </c>
      <c r="I345" s="57">
        <f t="shared" ca="1" si="45"/>
        <v>2022</v>
      </c>
      <c r="J345" s="57"/>
      <c r="K345" s="57"/>
      <c r="L345" s="57"/>
      <c r="M345" s="57">
        <f t="shared" ca="1" si="49"/>
        <v>775979</v>
      </c>
      <c r="N345" s="57">
        <f t="shared" ca="1" si="50"/>
        <v>111684</v>
      </c>
    </row>
    <row r="346" spans="1:14">
      <c r="A346" s="105">
        <v>357</v>
      </c>
      <c r="B346" s="105" t="str">
        <f ca="1">VLOOKUP( $A346, Aop!$A$2:$P$456, 2, 0)</f>
        <v>Aneks</v>
      </c>
      <c r="C346" s="57">
        <f t="shared" ca="1" si="46"/>
        <v>2</v>
      </c>
      <c r="D346" s="57" t="str">
        <f t="shared" ca="1" si="43"/>
        <v>01111329</v>
      </c>
      <c r="E346" s="57" t="str">
        <f t="shared" ca="1" si="44"/>
        <v>4400692320002</v>
      </c>
      <c r="F346" s="57" t="b">
        <f t="shared" ca="1" si="47"/>
        <v>0</v>
      </c>
      <c r="G346" s="140">
        <f t="shared" ca="1" si="48"/>
        <v>44742</v>
      </c>
      <c r="H346" s="105">
        <f ca="1">VLOOKUP( $A346, Aop!$A$2:$P$456, 4, 0)</f>
        <v>606</v>
      </c>
      <c r="I346" s="57">
        <f t="shared" ca="1" si="45"/>
        <v>2022</v>
      </c>
      <c r="J346" s="57"/>
      <c r="K346" s="57"/>
      <c r="L346" s="57"/>
      <c r="M346" s="57">
        <f t="shared" ca="1" si="49"/>
        <v>782307</v>
      </c>
      <c r="N346" s="57" t="str">
        <f t="shared" ca="1" si="50"/>
        <v/>
      </c>
    </row>
    <row r="347" spans="1:14">
      <c r="A347" s="105">
        <v>358</v>
      </c>
      <c r="B347" s="105" t="str">
        <f ca="1">VLOOKUP( $A347, Aop!$A$2:$P$456, 2, 0)</f>
        <v>Aneks</v>
      </c>
      <c r="C347" s="57">
        <f t="shared" ca="1" si="46"/>
        <v>2</v>
      </c>
      <c r="D347" s="57" t="str">
        <f t="shared" ca="1" si="43"/>
        <v>01111329</v>
      </c>
      <c r="E347" s="57" t="str">
        <f t="shared" ca="1" si="44"/>
        <v>4400692320002</v>
      </c>
      <c r="F347" s="57" t="b">
        <f t="shared" ca="1" si="47"/>
        <v>0</v>
      </c>
      <c r="G347" s="140">
        <f t="shared" ca="1" si="48"/>
        <v>44742</v>
      </c>
      <c r="H347" s="105">
        <f ca="1">VLOOKUP( $A347, Aop!$A$2:$P$456, 4, 0)</f>
        <v>607</v>
      </c>
      <c r="I347" s="57">
        <f t="shared" ca="1" si="45"/>
        <v>2022</v>
      </c>
      <c r="J347" s="57"/>
      <c r="K347" s="57"/>
      <c r="L347" s="57"/>
      <c r="M347" s="57" t="str">
        <f t="shared" ca="1" si="49"/>
        <v/>
      </c>
      <c r="N347" s="57" t="str">
        <f t="shared" ca="1" si="50"/>
        <v/>
      </c>
    </row>
    <row r="348" spans="1:14">
      <c r="A348" s="105">
        <v>359</v>
      </c>
      <c r="B348" s="105" t="str">
        <f ca="1">VLOOKUP( $A348, Aop!$A$2:$P$456, 2, 0)</f>
        <v>Aneks</v>
      </c>
      <c r="C348" s="57">
        <f t="shared" ca="1" si="46"/>
        <v>2</v>
      </c>
      <c r="D348" s="57" t="str">
        <f t="shared" ca="1" si="43"/>
        <v>01111329</v>
      </c>
      <c r="E348" s="57" t="str">
        <f t="shared" ca="1" si="44"/>
        <v>4400692320002</v>
      </c>
      <c r="F348" s="57" t="b">
        <f t="shared" ca="1" si="47"/>
        <v>0</v>
      </c>
      <c r="G348" s="140">
        <f t="shared" ca="1" si="48"/>
        <v>44742</v>
      </c>
      <c r="H348" s="105">
        <f ca="1">VLOOKUP( $A348, Aop!$A$2:$P$456, 4, 0)</f>
        <v>608</v>
      </c>
      <c r="I348" s="57">
        <f t="shared" ca="1" si="45"/>
        <v>2022</v>
      </c>
      <c r="J348" s="57"/>
      <c r="K348" s="57"/>
      <c r="L348" s="57"/>
      <c r="M348" s="57">
        <f t="shared" ca="1" si="49"/>
        <v>619385</v>
      </c>
      <c r="N348" s="57" t="str">
        <f t="shared" ca="1" si="50"/>
        <v/>
      </c>
    </row>
    <row r="349" spans="1:14">
      <c r="A349" s="105">
        <v>360</v>
      </c>
      <c r="B349" s="105" t="str">
        <f ca="1">VLOOKUP( $A349, Aop!$A$2:$P$456, 2, 0)</f>
        <v>Aneks</v>
      </c>
      <c r="C349" s="57">
        <f t="shared" ca="1" si="46"/>
        <v>2</v>
      </c>
      <c r="D349" s="57" t="str">
        <f t="shared" ca="1" si="43"/>
        <v>01111329</v>
      </c>
      <c r="E349" s="57" t="str">
        <f t="shared" ca="1" si="44"/>
        <v>4400692320002</v>
      </c>
      <c r="F349" s="57" t="b">
        <f t="shared" ca="1" si="47"/>
        <v>0</v>
      </c>
      <c r="G349" s="140">
        <f t="shared" ca="1" si="48"/>
        <v>44742</v>
      </c>
      <c r="H349" s="105">
        <f ca="1">VLOOKUP( $A349, Aop!$A$2:$P$456, 4, 0)</f>
        <v>609</v>
      </c>
      <c r="I349" s="57">
        <f t="shared" ca="1" si="45"/>
        <v>2022</v>
      </c>
      <c r="J349" s="57"/>
      <c r="K349" s="57"/>
      <c r="L349" s="57"/>
      <c r="M349" s="57" t="str">
        <f t="shared" ca="1" si="49"/>
        <v/>
      </c>
      <c r="N349" s="57" t="str">
        <f t="shared" ca="1" si="50"/>
        <v/>
      </c>
    </row>
    <row r="350" spans="1:14">
      <c r="A350" s="105">
        <v>361</v>
      </c>
      <c r="B350" s="105" t="str">
        <f ca="1">VLOOKUP( $A350, Aop!$A$2:$P$456, 2, 0)</f>
        <v>Aneks</v>
      </c>
      <c r="C350" s="57">
        <f t="shared" ca="1" si="46"/>
        <v>2</v>
      </c>
      <c r="D350" s="57" t="str">
        <f t="shared" ca="1" si="43"/>
        <v>01111329</v>
      </c>
      <c r="E350" s="57" t="str">
        <f t="shared" ca="1" si="44"/>
        <v>4400692320002</v>
      </c>
      <c r="F350" s="57" t="b">
        <f t="shared" ca="1" si="47"/>
        <v>0</v>
      </c>
      <c r="G350" s="140">
        <f t="shared" ca="1" si="48"/>
        <v>44742</v>
      </c>
      <c r="H350" s="105">
        <f ca="1">VLOOKUP( $A350, Aop!$A$2:$P$456, 4, 0)</f>
        <v>610</v>
      </c>
      <c r="I350" s="57">
        <f t="shared" ca="1" si="45"/>
        <v>2022</v>
      </c>
      <c r="J350" s="57"/>
      <c r="K350" s="57"/>
      <c r="L350" s="57"/>
      <c r="M350" s="57" t="str">
        <f t="shared" ca="1" si="49"/>
        <v/>
      </c>
      <c r="N350" s="57" t="str">
        <f t="shared" ca="1" si="50"/>
        <v/>
      </c>
    </row>
    <row r="351" spans="1:14">
      <c r="A351" s="105">
        <v>362</v>
      </c>
      <c r="B351" s="105" t="str">
        <f ca="1">VLOOKUP( $A351, Aop!$A$2:$P$456, 2, 0)</f>
        <v>Aneks</v>
      </c>
      <c r="C351" s="57">
        <f t="shared" ca="1" si="46"/>
        <v>2</v>
      </c>
      <c r="D351" s="57" t="str">
        <f t="shared" ca="1" si="43"/>
        <v>01111329</v>
      </c>
      <c r="E351" s="57" t="str">
        <f t="shared" ca="1" si="44"/>
        <v>4400692320002</v>
      </c>
      <c r="F351" s="57" t="b">
        <f t="shared" ca="1" si="47"/>
        <v>0</v>
      </c>
      <c r="G351" s="140">
        <f t="shared" ca="1" si="48"/>
        <v>44742</v>
      </c>
      <c r="H351" s="105">
        <f ca="1">VLOOKUP( $A351, Aop!$A$2:$P$456, 4, 0)</f>
        <v>611</v>
      </c>
      <c r="I351" s="57">
        <f t="shared" ca="1" si="45"/>
        <v>2022</v>
      </c>
      <c r="J351" s="57"/>
      <c r="K351" s="57"/>
      <c r="L351" s="57"/>
      <c r="M351" s="57" t="str">
        <f t="shared" ca="1" si="49"/>
        <v/>
      </c>
      <c r="N351" s="57" t="str">
        <f t="shared" ca="1" si="50"/>
        <v/>
      </c>
    </row>
    <row r="352" spans="1:14">
      <c r="A352" s="105">
        <v>363</v>
      </c>
      <c r="B352" s="105" t="str">
        <f ca="1">VLOOKUP( $A352, Aop!$A$2:$P$456, 2, 0)</f>
        <v>Aneks</v>
      </c>
      <c r="C352" s="57">
        <f t="shared" ca="1" si="46"/>
        <v>2</v>
      </c>
      <c r="D352" s="57" t="str">
        <f t="shared" ca="1" si="43"/>
        <v>01111329</v>
      </c>
      <c r="E352" s="57" t="str">
        <f t="shared" ca="1" si="44"/>
        <v>4400692320002</v>
      </c>
      <c r="F352" s="57" t="b">
        <f t="shared" ca="1" si="47"/>
        <v>0</v>
      </c>
      <c r="G352" s="140">
        <f t="shared" ca="1" si="48"/>
        <v>44742</v>
      </c>
      <c r="H352" s="105">
        <f ca="1">VLOOKUP( $A352, Aop!$A$2:$P$456, 4, 0)</f>
        <v>612</v>
      </c>
      <c r="I352" s="57">
        <f t="shared" ca="1" si="45"/>
        <v>2022</v>
      </c>
      <c r="J352" s="57"/>
      <c r="K352" s="57"/>
      <c r="L352" s="57"/>
      <c r="M352" s="57" t="str">
        <f t="shared" ca="1" si="49"/>
        <v/>
      </c>
      <c r="N352" s="57">
        <f t="shared" ca="1" si="50"/>
        <v>446576</v>
      </c>
    </row>
    <row r="353" spans="1:14">
      <c r="A353" s="105">
        <v>364</v>
      </c>
      <c r="B353" s="105" t="str">
        <f ca="1">VLOOKUP( $A353, Aop!$A$2:$P$456, 2, 0)</f>
        <v>Aneks</v>
      </c>
      <c r="C353" s="57">
        <f t="shared" ca="1" si="46"/>
        <v>2</v>
      </c>
      <c r="D353" s="57" t="str">
        <f t="shared" ca="1" si="43"/>
        <v>01111329</v>
      </c>
      <c r="E353" s="57" t="str">
        <f t="shared" ca="1" si="44"/>
        <v>4400692320002</v>
      </c>
      <c r="F353" s="57" t="b">
        <f t="shared" ca="1" si="47"/>
        <v>0</v>
      </c>
      <c r="G353" s="140">
        <f t="shared" ca="1" si="48"/>
        <v>44742</v>
      </c>
      <c r="H353" s="105">
        <f ca="1">VLOOKUP( $A353, Aop!$A$2:$P$456, 4, 0)</f>
        <v>613</v>
      </c>
      <c r="I353" s="57">
        <f t="shared" ca="1" si="45"/>
        <v>2022</v>
      </c>
      <c r="J353" s="57"/>
      <c r="K353" s="57"/>
      <c r="L353" s="57"/>
      <c r="M353" s="57">
        <f t="shared" ca="1" si="49"/>
        <v>225788</v>
      </c>
      <c r="N353" s="57" t="str">
        <f t="shared" ca="1" si="50"/>
        <v/>
      </c>
    </row>
    <row r="354" spans="1:14">
      <c r="A354" s="105">
        <v>365</v>
      </c>
      <c r="B354" s="105" t="str">
        <f ca="1">VLOOKUP( $A354, Aop!$A$2:$P$456, 2, 0)</f>
        <v>Aneks</v>
      </c>
      <c r="C354" s="57">
        <f t="shared" ca="1" si="46"/>
        <v>2</v>
      </c>
      <c r="D354" s="57" t="str">
        <f t="shared" ca="1" si="43"/>
        <v>01111329</v>
      </c>
      <c r="E354" s="57" t="str">
        <f t="shared" ca="1" si="44"/>
        <v>4400692320002</v>
      </c>
      <c r="F354" s="57" t="b">
        <f t="shared" ca="1" si="47"/>
        <v>0</v>
      </c>
      <c r="G354" s="140">
        <f t="shared" ca="1" si="48"/>
        <v>44742</v>
      </c>
      <c r="H354" s="105">
        <f ca="1">VLOOKUP( $A354, Aop!$A$2:$P$456, 4, 0)</f>
        <v>614</v>
      </c>
      <c r="I354" s="57">
        <f t="shared" ca="1" si="45"/>
        <v>2022</v>
      </c>
      <c r="J354" s="57"/>
      <c r="K354" s="57"/>
      <c r="L354" s="57"/>
      <c r="M354" s="57" t="str">
        <f t="shared" ca="1" si="49"/>
        <v/>
      </c>
      <c r="N354" s="57" t="str">
        <f t="shared" ca="1" si="50"/>
        <v/>
      </c>
    </row>
    <row r="355" spans="1:14">
      <c r="A355" s="105">
        <v>366</v>
      </c>
      <c r="B355" s="105" t="str">
        <f ca="1">VLOOKUP( $A355, Aop!$A$2:$P$456, 2, 0)</f>
        <v>Aneks</v>
      </c>
      <c r="C355" s="57">
        <f t="shared" ca="1" si="46"/>
        <v>2</v>
      </c>
      <c r="D355" s="57" t="str">
        <f t="shared" ca="1" si="43"/>
        <v>01111329</v>
      </c>
      <c r="E355" s="57" t="str">
        <f t="shared" ca="1" si="44"/>
        <v>4400692320002</v>
      </c>
      <c r="F355" s="57" t="b">
        <f t="shared" ca="1" si="47"/>
        <v>0</v>
      </c>
      <c r="G355" s="140">
        <f t="shared" ca="1" si="48"/>
        <v>44742</v>
      </c>
      <c r="H355" s="105">
        <f ca="1">VLOOKUP( $A355, Aop!$A$2:$P$456, 4, 0)</f>
        <v>615</v>
      </c>
      <c r="I355" s="57">
        <f t="shared" ca="1" si="45"/>
        <v>2022</v>
      </c>
      <c r="J355" s="57"/>
      <c r="K355" s="57"/>
      <c r="L355" s="57"/>
      <c r="M355" s="57" t="str">
        <f t="shared" ca="1" si="49"/>
        <v/>
      </c>
      <c r="N355" s="57" t="str">
        <f t="shared" ca="1" si="50"/>
        <v/>
      </c>
    </row>
    <row r="356" spans="1:14">
      <c r="A356" s="105">
        <v>367</v>
      </c>
      <c r="B356" s="105" t="str">
        <f ca="1">VLOOKUP( $A356, Aop!$A$2:$P$456, 2, 0)</f>
        <v>Aneks</v>
      </c>
      <c r="C356" s="57">
        <f t="shared" ref="C356:C363" ca="1" si="51">ID_Izvjestaj</f>
        <v>2</v>
      </c>
      <c r="D356" s="57" t="str">
        <f t="shared" ref="D356:D363" ca="1" si="52">Podatak_MB</f>
        <v>01111329</v>
      </c>
      <c r="E356" s="57" t="str">
        <f t="shared" ref="E356:E363" ca="1" si="53">Podatak_JIB</f>
        <v>4400692320002</v>
      </c>
      <c r="F356" s="57" t="b">
        <f t="shared" ref="F356:F363" ca="1" si="54">Konsolidovan_izvjestaj</f>
        <v>0</v>
      </c>
      <c r="G356" s="140">
        <f t="shared" ref="G356:G363" ca="1" si="55">Datum_Broj</f>
        <v>44742</v>
      </c>
      <c r="H356" s="57">
        <f ca="1">VLOOKUP( $A356, Aop!$A$2:$P$456, 4, 0)</f>
        <v>616</v>
      </c>
      <c r="I356" s="57">
        <f t="shared" ref="I356:I363" ca="1" si="56">Godina</f>
        <v>2022</v>
      </c>
      <c r="J356" s="57"/>
      <c r="K356" s="57"/>
      <c r="L356" s="57"/>
      <c r="M356" s="57" t="str">
        <f t="shared" ca="1" si="49"/>
        <v/>
      </c>
      <c r="N356" s="57" t="str">
        <f t="shared" ca="1" si="50"/>
        <v/>
      </c>
    </row>
    <row r="357" spans="1:14">
      <c r="A357" s="105">
        <v>368</v>
      </c>
      <c r="B357" s="105" t="str">
        <f ca="1">VLOOKUP( $A357, Aop!$A$2:$P$456, 2, 0)</f>
        <v>Aneks</v>
      </c>
      <c r="C357" s="57">
        <f t="shared" ca="1" si="51"/>
        <v>2</v>
      </c>
      <c r="D357" s="57" t="str">
        <f t="shared" ca="1" si="52"/>
        <v>01111329</v>
      </c>
      <c r="E357" s="57" t="str">
        <f t="shared" ca="1" si="53"/>
        <v>4400692320002</v>
      </c>
      <c r="F357" s="57" t="b">
        <f t="shared" ca="1" si="54"/>
        <v>0</v>
      </c>
      <c r="G357" s="140">
        <f t="shared" ca="1" si="55"/>
        <v>44742</v>
      </c>
      <c r="H357" s="57">
        <f ca="1">VLOOKUP( $A357, Aop!$A$2:$P$456, 4, 0)</f>
        <v>617</v>
      </c>
      <c r="I357" s="57">
        <f t="shared" ca="1" si="56"/>
        <v>2022</v>
      </c>
      <c r="J357" s="57"/>
      <c r="K357" s="57"/>
      <c r="L357" s="57"/>
      <c r="M357" s="57" t="str">
        <f t="shared" ca="1" si="49"/>
        <v/>
      </c>
      <c r="N357" s="57" t="str">
        <f t="shared" ca="1" si="50"/>
        <v/>
      </c>
    </row>
    <row r="358" spans="1:14">
      <c r="A358" s="105">
        <v>369</v>
      </c>
      <c r="B358" s="105" t="str">
        <f ca="1">VLOOKUP( $A358, Aop!$A$2:$P$456, 2, 0)</f>
        <v>Aneks</v>
      </c>
      <c r="C358" s="57">
        <f t="shared" ca="1" si="51"/>
        <v>2</v>
      </c>
      <c r="D358" s="57" t="str">
        <f t="shared" ca="1" si="52"/>
        <v>01111329</v>
      </c>
      <c r="E358" s="57" t="str">
        <f t="shared" ca="1" si="53"/>
        <v>4400692320002</v>
      </c>
      <c r="F358" s="57" t="b">
        <f t="shared" ca="1" si="54"/>
        <v>0</v>
      </c>
      <c r="G358" s="140">
        <f t="shared" ca="1" si="55"/>
        <v>44742</v>
      </c>
      <c r="H358" s="57">
        <f ca="1">VLOOKUP( $A358, Aop!$A$2:$P$456, 4, 0)</f>
        <v>618</v>
      </c>
      <c r="I358" s="57">
        <f t="shared" ca="1" si="56"/>
        <v>2022</v>
      </c>
      <c r="J358" s="57"/>
      <c r="K358" s="57"/>
      <c r="L358" s="57"/>
      <c r="M358" s="57" t="str">
        <f t="shared" ca="1" si="49"/>
        <v/>
      </c>
      <c r="N358" s="57" t="str">
        <f t="shared" ca="1" si="50"/>
        <v/>
      </c>
    </row>
    <row r="359" spans="1:14">
      <c r="A359" s="105">
        <v>370</v>
      </c>
      <c r="B359" s="105" t="str">
        <f ca="1">VLOOKUP( $A359, Aop!$A$2:$P$456, 2, 0)</f>
        <v>Aneks</v>
      </c>
      <c r="C359" s="57">
        <f t="shared" ca="1" si="51"/>
        <v>2</v>
      </c>
      <c r="D359" s="57" t="str">
        <f t="shared" ca="1" si="52"/>
        <v>01111329</v>
      </c>
      <c r="E359" s="57" t="str">
        <f t="shared" ca="1" si="53"/>
        <v>4400692320002</v>
      </c>
      <c r="F359" s="57" t="b">
        <f t="shared" ca="1" si="54"/>
        <v>0</v>
      </c>
      <c r="G359" s="140">
        <f t="shared" ca="1" si="55"/>
        <v>44742</v>
      </c>
      <c r="H359" s="57">
        <f ca="1">VLOOKUP( $A359, Aop!$A$2:$P$456, 4, 0)</f>
        <v>619</v>
      </c>
      <c r="I359" s="57">
        <f t="shared" ca="1" si="56"/>
        <v>2022</v>
      </c>
      <c r="J359" s="57"/>
      <c r="K359" s="57"/>
      <c r="L359" s="57"/>
      <c r="M359" s="57">
        <f t="shared" ca="1" si="49"/>
        <v>33608</v>
      </c>
      <c r="N359" s="57">
        <f t="shared" ca="1" si="50"/>
        <v>27960</v>
      </c>
    </row>
    <row r="360" spans="1:14">
      <c r="A360" s="105">
        <v>371</v>
      </c>
      <c r="B360" s="105" t="str">
        <f ca="1">VLOOKUP( $A360, Aop!$A$2:$P$456, 2, 0)</f>
        <v>Aneks</v>
      </c>
      <c r="C360" s="57">
        <f t="shared" ca="1" si="51"/>
        <v>2</v>
      </c>
      <c r="D360" s="57" t="str">
        <f t="shared" ca="1" si="52"/>
        <v>01111329</v>
      </c>
      <c r="E360" s="57" t="str">
        <f t="shared" ca="1" si="53"/>
        <v>4400692320002</v>
      </c>
      <c r="F360" s="57" t="b">
        <f t="shared" ca="1" si="54"/>
        <v>0</v>
      </c>
      <c r="G360" s="140">
        <f t="shared" ca="1" si="55"/>
        <v>44742</v>
      </c>
      <c r="H360" s="57">
        <f ca="1">VLOOKUP( $A360, Aop!$A$2:$P$456, 4, 0)</f>
        <v>620</v>
      </c>
      <c r="I360" s="57">
        <f t="shared" ca="1" si="56"/>
        <v>2022</v>
      </c>
      <c r="J360" s="57"/>
      <c r="K360" s="57"/>
      <c r="L360" s="57"/>
      <c r="M360" s="57" t="str">
        <f t="shared" ca="1" si="49"/>
        <v/>
      </c>
      <c r="N360" s="57" t="str">
        <f t="shared" ca="1" si="50"/>
        <v/>
      </c>
    </row>
    <row r="361" spans="1:14">
      <c r="A361" s="105">
        <v>372</v>
      </c>
      <c r="B361" s="105" t="str">
        <f ca="1">VLOOKUP( $A361, Aop!$A$2:$P$456, 2, 0)</f>
        <v>Aneks</v>
      </c>
      <c r="C361" s="57">
        <f t="shared" ca="1" si="51"/>
        <v>2</v>
      </c>
      <c r="D361" s="57" t="str">
        <f t="shared" ca="1" si="52"/>
        <v>01111329</v>
      </c>
      <c r="E361" s="57" t="str">
        <f t="shared" ca="1" si="53"/>
        <v>4400692320002</v>
      </c>
      <c r="F361" s="57" t="b">
        <f t="shared" ca="1" si="54"/>
        <v>0</v>
      </c>
      <c r="G361" s="140">
        <f t="shared" ca="1" si="55"/>
        <v>44742</v>
      </c>
      <c r="H361" s="57">
        <f ca="1">VLOOKUP( $A361, Aop!$A$2:$P$456, 4, 0)</f>
        <v>621</v>
      </c>
      <c r="I361" s="57">
        <f t="shared" ca="1" si="56"/>
        <v>2022</v>
      </c>
      <c r="J361" s="57"/>
      <c r="K361" s="57"/>
      <c r="L361" s="57"/>
      <c r="M361" s="57" t="str">
        <f t="shared" ca="1" si="49"/>
        <v/>
      </c>
      <c r="N361" s="57" t="str">
        <f t="shared" ca="1" si="50"/>
        <v/>
      </c>
    </row>
    <row r="362" spans="1:14">
      <c r="A362" s="105">
        <v>373</v>
      </c>
      <c r="B362" s="105" t="str">
        <f ca="1">VLOOKUP( $A362, Aop!$A$2:$P$456, 2, 0)</f>
        <v>Aneks</v>
      </c>
      <c r="C362" s="57">
        <f t="shared" ca="1" si="51"/>
        <v>2</v>
      </c>
      <c r="D362" s="57" t="str">
        <f t="shared" ca="1" si="52"/>
        <v>01111329</v>
      </c>
      <c r="E362" s="57" t="str">
        <f t="shared" ca="1" si="53"/>
        <v>4400692320002</v>
      </c>
      <c r="F362" s="57" t="b">
        <f t="shared" ca="1" si="54"/>
        <v>0</v>
      </c>
      <c r="G362" s="140">
        <f t="shared" ca="1" si="55"/>
        <v>44742</v>
      </c>
      <c r="H362" s="57">
        <f ca="1">VLOOKUP( $A362, Aop!$A$2:$P$456, 4, 0)</f>
        <v>622</v>
      </c>
      <c r="I362" s="57">
        <f t="shared" ca="1" si="56"/>
        <v>2022</v>
      </c>
      <c r="J362" s="57"/>
      <c r="K362" s="57"/>
      <c r="L362" s="57"/>
      <c r="M362" s="57" t="str">
        <f t="shared" ca="1" si="49"/>
        <v/>
      </c>
      <c r="N362" s="57" t="str">
        <f t="shared" ca="1" si="50"/>
        <v/>
      </c>
    </row>
    <row r="363" spans="1:14">
      <c r="A363" s="105">
        <v>374</v>
      </c>
      <c r="B363" s="105" t="str">
        <f ca="1">VLOOKUP( $A363, Aop!$A$2:$P$456, 2, 0)</f>
        <v>Aneks</v>
      </c>
      <c r="C363" s="57">
        <f t="shared" ca="1" si="51"/>
        <v>2</v>
      </c>
      <c r="D363" s="57" t="str">
        <f t="shared" ca="1" si="52"/>
        <v>01111329</v>
      </c>
      <c r="E363" s="57" t="str">
        <f t="shared" ca="1" si="53"/>
        <v>4400692320002</v>
      </c>
      <c r="F363" s="57" t="b">
        <f t="shared" ca="1" si="54"/>
        <v>0</v>
      </c>
      <c r="G363" s="140">
        <f t="shared" ca="1" si="55"/>
        <v>44742</v>
      </c>
      <c r="H363" s="57">
        <f ca="1">VLOOKUP( $A363, Aop!$A$2:$P$456, 4, 0)</f>
        <v>623</v>
      </c>
      <c r="I363" s="57">
        <f t="shared" ca="1" si="56"/>
        <v>2022</v>
      </c>
      <c r="J363" s="57"/>
      <c r="K363" s="57"/>
      <c r="L363" s="57"/>
      <c r="M363" s="57">
        <f t="shared" ca="1" si="49"/>
        <v>16691</v>
      </c>
      <c r="N363" s="57">
        <f t="shared" ca="1" si="50"/>
        <v>16158</v>
      </c>
    </row>
    <row r="364" spans="1:14">
      <c r="A364" s="105">
        <v>375</v>
      </c>
      <c r="B364" s="54" t="str">
        <f ca="1">VLOOKUP( $A364, Aop!$A$2:$P$456, 2, 0)</f>
        <v>Aneks</v>
      </c>
      <c r="C364" s="54">
        <f t="shared" ref="C364:C380" ca="1" si="57">ID_Izvjestaj</f>
        <v>2</v>
      </c>
      <c r="D364" s="54" t="str">
        <f t="shared" ref="D364:D380" ca="1" si="58">Podatak_MB</f>
        <v>01111329</v>
      </c>
      <c r="E364" s="54" t="str">
        <f t="shared" ref="E364:E380" ca="1" si="59">Podatak_JIB</f>
        <v>4400692320002</v>
      </c>
      <c r="F364" s="54" t="b">
        <f t="shared" ref="F364:F380" ca="1" si="60">Konsolidovan_izvjestaj</f>
        <v>0</v>
      </c>
      <c r="G364" s="226">
        <f t="shared" ref="G364:G427" ca="1" si="61">Datum_Broj</f>
        <v>44742</v>
      </c>
      <c r="H364" s="54">
        <f ca="1">VLOOKUP( $A364, Aop!$A$2:$P$456, 4, 0)</f>
        <v>624</v>
      </c>
      <c r="I364" s="54">
        <f t="shared" ref="I364:I380" ca="1" si="62">Godina</f>
        <v>2022</v>
      </c>
      <c r="J364" s="54"/>
      <c r="K364" s="54"/>
      <c r="L364" s="54"/>
      <c r="M364" s="54" t="str">
        <f t="shared" ca="1" si="49"/>
        <v/>
      </c>
      <c r="N364" s="54" t="str">
        <f t="shared" ca="1" si="50"/>
        <v/>
      </c>
    </row>
    <row r="365" spans="1:14">
      <c r="A365" s="105">
        <v>376</v>
      </c>
      <c r="B365" s="54" t="str">
        <f ca="1">VLOOKUP( $A365, Aop!$A$2:$P$456, 2, 0)</f>
        <v>Aneks</v>
      </c>
      <c r="C365" s="54">
        <f t="shared" ca="1" si="57"/>
        <v>2</v>
      </c>
      <c r="D365" s="54" t="str">
        <f t="shared" ca="1" si="58"/>
        <v>01111329</v>
      </c>
      <c r="E365" s="54" t="str">
        <f t="shared" ca="1" si="59"/>
        <v>4400692320002</v>
      </c>
      <c r="F365" s="54" t="b">
        <f t="shared" ca="1" si="60"/>
        <v>0</v>
      </c>
      <c r="G365" s="226">
        <f t="shared" ca="1" si="61"/>
        <v>44742</v>
      </c>
      <c r="H365" s="54">
        <f ca="1">VLOOKUP( $A365, Aop!$A$2:$P$456, 4, 0)</f>
        <v>625</v>
      </c>
      <c r="I365" s="54">
        <f t="shared" ca="1" si="62"/>
        <v>2022</v>
      </c>
      <c r="J365" s="54"/>
      <c r="K365" s="54"/>
      <c r="L365" s="54"/>
      <c r="M365" s="54" t="str">
        <f t="shared" ca="1" si="49"/>
        <v/>
      </c>
      <c r="N365" s="54" t="str">
        <f t="shared" ca="1" si="50"/>
        <v/>
      </c>
    </row>
    <row r="366" spans="1:14">
      <c r="A366" s="105">
        <v>377</v>
      </c>
      <c r="B366" s="54" t="str">
        <f ca="1">VLOOKUP( $A366, Aop!$A$2:$P$456, 2, 0)</f>
        <v>Aneks</v>
      </c>
      <c r="C366" s="54">
        <f t="shared" ca="1" si="57"/>
        <v>2</v>
      </c>
      <c r="D366" s="54" t="str">
        <f t="shared" ca="1" si="58"/>
        <v>01111329</v>
      </c>
      <c r="E366" s="54" t="str">
        <f t="shared" ca="1" si="59"/>
        <v>4400692320002</v>
      </c>
      <c r="F366" s="54" t="b">
        <f t="shared" ca="1" si="60"/>
        <v>0</v>
      </c>
      <c r="G366" s="226">
        <f t="shared" ca="1" si="61"/>
        <v>44742</v>
      </c>
      <c r="H366" s="54">
        <f ca="1">VLOOKUP( $A366, Aop!$A$2:$P$456, 4, 0)</f>
        <v>626</v>
      </c>
      <c r="I366" s="54">
        <f t="shared" ca="1" si="62"/>
        <v>2022</v>
      </c>
      <c r="J366" s="54"/>
      <c r="K366" s="54"/>
      <c r="L366" s="54"/>
      <c r="M366" s="54" t="str">
        <f t="shared" ca="1" si="49"/>
        <v/>
      </c>
      <c r="N366" s="54" t="str">
        <f t="shared" ca="1" si="50"/>
        <v/>
      </c>
    </row>
    <row r="367" spans="1:14">
      <c r="A367" s="105">
        <v>378</v>
      </c>
      <c r="B367" s="54" t="str">
        <f ca="1">VLOOKUP( $A367, Aop!$A$2:$P$456, 2, 0)</f>
        <v>Aneks</v>
      </c>
      <c r="C367" s="54">
        <f t="shared" ca="1" si="57"/>
        <v>2</v>
      </c>
      <c r="D367" s="54" t="str">
        <f t="shared" ca="1" si="58"/>
        <v>01111329</v>
      </c>
      <c r="E367" s="54" t="str">
        <f t="shared" ca="1" si="59"/>
        <v>4400692320002</v>
      </c>
      <c r="F367" s="54" t="b">
        <f t="shared" ca="1" si="60"/>
        <v>0</v>
      </c>
      <c r="G367" s="226">
        <f t="shared" ca="1" si="61"/>
        <v>44742</v>
      </c>
      <c r="H367" s="54">
        <f ca="1">VLOOKUP( $A367, Aop!$A$2:$P$456, 4, 0)</f>
        <v>627</v>
      </c>
      <c r="I367" s="54">
        <f t="shared" ca="1" si="62"/>
        <v>2022</v>
      </c>
      <c r="J367" s="54"/>
      <c r="K367" s="54"/>
      <c r="L367" s="54"/>
      <c r="M367" s="54">
        <f t="shared" ca="1" si="49"/>
        <v>16762</v>
      </c>
      <c r="N367" s="54">
        <f t="shared" ca="1" si="50"/>
        <v>11802</v>
      </c>
    </row>
    <row r="368" spans="1:14">
      <c r="A368" s="105">
        <v>379</v>
      </c>
      <c r="B368" s="54" t="str">
        <f ca="1">VLOOKUP( $A368, Aop!$A$2:$P$456, 2, 0)</f>
        <v>Aneks</v>
      </c>
      <c r="C368" s="54">
        <f t="shared" ca="1" si="57"/>
        <v>2</v>
      </c>
      <c r="D368" s="54" t="str">
        <f t="shared" ca="1" si="58"/>
        <v>01111329</v>
      </c>
      <c r="E368" s="54" t="str">
        <f t="shared" ca="1" si="59"/>
        <v>4400692320002</v>
      </c>
      <c r="F368" s="54" t="b">
        <f t="shared" ca="1" si="60"/>
        <v>0</v>
      </c>
      <c r="G368" s="226">
        <f t="shared" ca="1" si="61"/>
        <v>44742</v>
      </c>
      <c r="H368" s="54">
        <f ca="1">VLOOKUP( $A368, Aop!$A$2:$P$456, 4, 0)</f>
        <v>628</v>
      </c>
      <c r="I368" s="54">
        <f t="shared" ca="1" si="62"/>
        <v>2022</v>
      </c>
      <c r="J368" s="54"/>
      <c r="K368" s="54"/>
      <c r="L368" s="54"/>
      <c r="M368" s="54">
        <f t="shared" ca="1" si="49"/>
        <v>155</v>
      </c>
      <c r="N368" s="54" t="str">
        <f t="shared" ca="1" si="50"/>
        <v/>
      </c>
    </row>
    <row r="369" spans="1:14">
      <c r="A369" s="105">
        <v>380</v>
      </c>
      <c r="B369" s="54" t="str">
        <f ca="1">VLOOKUP( $A369, Aop!$A$2:$P$456, 2, 0)</f>
        <v>Aneks</v>
      </c>
      <c r="C369" s="54">
        <f t="shared" ca="1" si="57"/>
        <v>2</v>
      </c>
      <c r="D369" s="54" t="str">
        <f t="shared" ca="1" si="58"/>
        <v>01111329</v>
      </c>
      <c r="E369" s="54" t="str">
        <f t="shared" ca="1" si="59"/>
        <v>4400692320002</v>
      </c>
      <c r="F369" s="54" t="b">
        <f t="shared" ca="1" si="60"/>
        <v>0</v>
      </c>
      <c r="G369" s="226">
        <f t="shared" ca="1" si="61"/>
        <v>44742</v>
      </c>
      <c r="H369" s="54">
        <f ca="1">VLOOKUP( $A369, Aop!$A$2:$P$456, 4, 0)</f>
        <v>629</v>
      </c>
      <c r="I369" s="54">
        <f t="shared" ca="1" si="62"/>
        <v>2022</v>
      </c>
      <c r="J369" s="54"/>
      <c r="K369" s="54"/>
      <c r="L369" s="54"/>
      <c r="M369" s="54">
        <f t="shared" ca="1" si="49"/>
        <v>4968</v>
      </c>
      <c r="N369" s="54">
        <f t="shared" ca="1" si="50"/>
        <v>537296</v>
      </c>
    </row>
    <row r="370" spans="1:14">
      <c r="A370" s="105">
        <v>381</v>
      </c>
      <c r="B370" s="54" t="str">
        <f ca="1">VLOOKUP( $A370, Aop!$A$2:$P$456, 2, 0)</f>
        <v>Aneks</v>
      </c>
      <c r="C370" s="54">
        <f t="shared" ca="1" si="57"/>
        <v>2</v>
      </c>
      <c r="D370" s="54" t="str">
        <f t="shared" ca="1" si="58"/>
        <v>01111329</v>
      </c>
      <c r="E370" s="54" t="str">
        <f t="shared" ca="1" si="59"/>
        <v>4400692320002</v>
      </c>
      <c r="F370" s="54" t="b">
        <f t="shared" ca="1" si="60"/>
        <v>0</v>
      </c>
      <c r="G370" s="226">
        <f t="shared" ca="1" si="61"/>
        <v>44742</v>
      </c>
      <c r="H370" s="54">
        <f ca="1">VLOOKUP( $A370, Aop!$A$2:$P$456, 4, 0)</f>
        <v>630</v>
      </c>
      <c r="I370" s="54">
        <f t="shared" ca="1" si="62"/>
        <v>2022</v>
      </c>
      <c r="J370" s="54"/>
      <c r="K370" s="54"/>
      <c r="L370" s="54"/>
      <c r="M370" s="54">
        <f t="shared" ca="1" si="49"/>
        <v>17085001</v>
      </c>
      <c r="N370" s="54">
        <f t="shared" ca="1" si="50"/>
        <v>500000</v>
      </c>
    </row>
    <row r="371" spans="1:14">
      <c r="A371" s="105">
        <v>382</v>
      </c>
      <c r="B371" s="54" t="str">
        <f ca="1">VLOOKUP( $A371, Aop!$A$2:$P$456, 2, 0)</f>
        <v>Aneks</v>
      </c>
      <c r="C371" s="54">
        <f t="shared" ca="1" si="57"/>
        <v>2</v>
      </c>
      <c r="D371" s="54" t="str">
        <f t="shared" ca="1" si="58"/>
        <v>01111329</v>
      </c>
      <c r="E371" s="54" t="str">
        <f t="shared" ca="1" si="59"/>
        <v>4400692320002</v>
      </c>
      <c r="F371" s="54" t="b">
        <f t="shared" ca="1" si="60"/>
        <v>0</v>
      </c>
      <c r="G371" s="226">
        <f t="shared" ca="1" si="61"/>
        <v>44742</v>
      </c>
      <c r="H371" s="54">
        <f ca="1">VLOOKUP( $A371, Aop!$A$2:$P$456, 4, 0)</f>
        <v>631</v>
      </c>
      <c r="I371" s="54">
        <f t="shared" ca="1" si="62"/>
        <v>2022</v>
      </c>
      <c r="J371" s="54"/>
      <c r="K371" s="54"/>
      <c r="L371" s="54"/>
      <c r="M371" s="54">
        <f t="shared" ca="1" si="49"/>
        <v>11450</v>
      </c>
      <c r="N371" s="54" t="str">
        <f t="shared" ca="1" si="50"/>
        <v/>
      </c>
    </row>
    <row r="372" spans="1:14">
      <c r="A372" s="105">
        <v>383</v>
      </c>
      <c r="B372" s="54" t="str">
        <f ca="1">VLOOKUP( $A372, Aop!$A$2:$P$456, 2, 0)</f>
        <v>Aneks</v>
      </c>
      <c r="C372" s="54">
        <f t="shared" ca="1" si="57"/>
        <v>2</v>
      </c>
      <c r="D372" s="54" t="str">
        <f t="shared" ca="1" si="58"/>
        <v>01111329</v>
      </c>
      <c r="E372" s="54" t="str">
        <f t="shared" ca="1" si="59"/>
        <v>4400692320002</v>
      </c>
      <c r="F372" s="54" t="b">
        <f t="shared" ca="1" si="60"/>
        <v>0</v>
      </c>
      <c r="G372" s="226">
        <f t="shared" ca="1" si="61"/>
        <v>44742</v>
      </c>
      <c r="H372" s="54">
        <f ca="1">VLOOKUP( $A372, Aop!$A$2:$P$456, 4, 0)</f>
        <v>632</v>
      </c>
      <c r="I372" s="54">
        <f t="shared" ca="1" si="62"/>
        <v>2022</v>
      </c>
      <c r="J372" s="54"/>
      <c r="K372" s="54"/>
      <c r="L372" s="54"/>
      <c r="M372" s="54" t="str">
        <f t="shared" ca="1" si="49"/>
        <v/>
      </c>
      <c r="N372" s="54" t="str">
        <f t="shared" ca="1" si="50"/>
        <v/>
      </c>
    </row>
    <row r="373" spans="1:14">
      <c r="A373" s="105">
        <v>384</v>
      </c>
      <c r="B373" s="54" t="str">
        <f ca="1">VLOOKUP( $A373, Aop!$A$2:$P$456, 2, 0)</f>
        <v>Aneks</v>
      </c>
      <c r="C373" s="54">
        <f t="shared" ca="1" si="57"/>
        <v>2</v>
      </c>
      <c r="D373" s="54" t="str">
        <f t="shared" ca="1" si="58"/>
        <v>01111329</v>
      </c>
      <c r="E373" s="54" t="str">
        <f t="shared" ca="1" si="59"/>
        <v>4400692320002</v>
      </c>
      <c r="F373" s="54" t="b">
        <f t="shared" ca="1" si="60"/>
        <v>0</v>
      </c>
      <c r="G373" s="226">
        <f t="shared" ca="1" si="61"/>
        <v>44742</v>
      </c>
      <c r="H373" s="54">
        <f ca="1">VLOOKUP( $A373, Aop!$A$2:$P$456, 4, 0)</f>
        <v>633</v>
      </c>
      <c r="I373" s="54">
        <f t="shared" ca="1" si="62"/>
        <v>2022</v>
      </c>
      <c r="J373" s="54"/>
      <c r="K373" s="54"/>
      <c r="L373" s="54"/>
      <c r="M373" s="54">
        <f t="shared" ca="1" si="49"/>
        <v>68103</v>
      </c>
      <c r="N373" s="54">
        <f t="shared" ca="1" si="50"/>
        <v>10459</v>
      </c>
    </row>
    <row r="374" spans="1:14">
      <c r="A374" s="105">
        <v>385</v>
      </c>
      <c r="B374" s="54" t="str">
        <f ca="1">VLOOKUP( $A374, Aop!$A$2:$P$456, 2, 0)</f>
        <v>Aneks</v>
      </c>
      <c r="C374" s="54">
        <f t="shared" ca="1" si="57"/>
        <v>2</v>
      </c>
      <c r="D374" s="54" t="str">
        <f t="shared" ca="1" si="58"/>
        <v>01111329</v>
      </c>
      <c r="E374" s="54" t="str">
        <f t="shared" ca="1" si="59"/>
        <v>4400692320002</v>
      </c>
      <c r="F374" s="54" t="b">
        <f t="shared" ca="1" si="60"/>
        <v>0</v>
      </c>
      <c r="G374" s="226">
        <f t="shared" ca="1" si="61"/>
        <v>44742</v>
      </c>
      <c r="H374" s="54">
        <f ca="1">VLOOKUP( $A374, Aop!$A$2:$P$456, 4, 0)</f>
        <v>634</v>
      </c>
      <c r="I374" s="54">
        <f t="shared" ca="1" si="62"/>
        <v>2022</v>
      </c>
      <c r="J374" s="54"/>
      <c r="K374" s="54"/>
      <c r="L374" s="54"/>
      <c r="M374" s="54">
        <f t="shared" ca="1" si="49"/>
        <v>52128</v>
      </c>
      <c r="N374" s="54">
        <f t="shared" ca="1" si="50"/>
        <v>12056</v>
      </c>
    </row>
    <row r="375" spans="1:14">
      <c r="A375" s="105">
        <v>386</v>
      </c>
      <c r="B375" s="54" t="str">
        <f ca="1">VLOOKUP( $A375, Aop!$A$2:$P$456, 2, 0)</f>
        <v>Aneks</v>
      </c>
      <c r="C375" s="54">
        <f t="shared" ca="1" si="57"/>
        <v>2</v>
      </c>
      <c r="D375" s="54" t="str">
        <f t="shared" ca="1" si="58"/>
        <v>01111329</v>
      </c>
      <c r="E375" s="54" t="str">
        <f t="shared" ca="1" si="59"/>
        <v>4400692320002</v>
      </c>
      <c r="F375" s="54" t="b">
        <f t="shared" ca="1" si="60"/>
        <v>0</v>
      </c>
      <c r="G375" s="226">
        <f t="shared" ca="1" si="61"/>
        <v>44742</v>
      </c>
      <c r="H375" s="54">
        <f ca="1">VLOOKUP( $A375, Aop!$A$2:$P$456, 4, 0)</f>
        <v>635</v>
      </c>
      <c r="I375" s="54">
        <f t="shared" ca="1" si="62"/>
        <v>2022</v>
      </c>
      <c r="J375" s="54"/>
      <c r="K375" s="54"/>
      <c r="L375" s="54"/>
      <c r="M375" s="54">
        <f t="shared" ca="1" si="49"/>
        <v>596523</v>
      </c>
      <c r="N375" s="54">
        <f t="shared" ca="1" si="50"/>
        <v>606175</v>
      </c>
    </row>
    <row r="376" spans="1:14">
      <c r="A376" s="105">
        <v>387</v>
      </c>
      <c r="B376" s="54" t="str">
        <f ca="1">VLOOKUP( $A376, Aop!$A$2:$P$456, 2, 0)</f>
        <v>Aneks</v>
      </c>
      <c r="C376" s="54">
        <f t="shared" ca="1" si="57"/>
        <v>2</v>
      </c>
      <c r="D376" s="54" t="str">
        <f t="shared" ca="1" si="58"/>
        <v>01111329</v>
      </c>
      <c r="E376" s="54" t="str">
        <f t="shared" ca="1" si="59"/>
        <v>4400692320002</v>
      </c>
      <c r="F376" s="54" t="b">
        <f t="shared" ca="1" si="60"/>
        <v>0</v>
      </c>
      <c r="G376" s="226">
        <f t="shared" ca="1" si="61"/>
        <v>44742</v>
      </c>
      <c r="H376" s="54">
        <f ca="1">VLOOKUP( $A376, Aop!$A$2:$P$456, 4, 0)</f>
        <v>636</v>
      </c>
      <c r="I376" s="54">
        <f t="shared" ca="1" si="62"/>
        <v>2022</v>
      </c>
      <c r="J376" s="54"/>
      <c r="K376" s="54"/>
      <c r="L376" s="54"/>
      <c r="M376" s="54">
        <f t="shared" ca="1" si="49"/>
        <v>11994</v>
      </c>
      <c r="N376" s="54">
        <f t="shared" ca="1" si="50"/>
        <v>11904</v>
      </c>
    </row>
    <row r="377" spans="1:14">
      <c r="A377" s="105">
        <v>388</v>
      </c>
      <c r="B377" s="54" t="str">
        <f ca="1">VLOOKUP( $A377, Aop!$A$2:$P$456, 2, 0)</f>
        <v>Aneks</v>
      </c>
      <c r="C377" s="54">
        <f t="shared" ca="1" si="57"/>
        <v>2</v>
      </c>
      <c r="D377" s="54" t="str">
        <f t="shared" ca="1" si="58"/>
        <v>01111329</v>
      </c>
      <c r="E377" s="54" t="str">
        <f t="shared" ca="1" si="59"/>
        <v>4400692320002</v>
      </c>
      <c r="F377" s="54" t="b">
        <f t="shared" ca="1" si="60"/>
        <v>0</v>
      </c>
      <c r="G377" s="226">
        <f t="shared" ca="1" si="61"/>
        <v>44742</v>
      </c>
      <c r="H377" s="54">
        <f ca="1">VLOOKUP( $A377, Aop!$A$2:$P$456, 4, 0)</f>
        <v>637</v>
      </c>
      <c r="I377" s="54">
        <f t="shared" ca="1" si="62"/>
        <v>2022</v>
      </c>
      <c r="J377" s="54"/>
      <c r="K377" s="54"/>
      <c r="L377" s="54"/>
      <c r="M377" s="54">
        <f t="shared" ca="1" si="49"/>
        <v>5597</v>
      </c>
      <c r="N377" s="54">
        <f t="shared" ca="1" si="50"/>
        <v>719</v>
      </c>
    </row>
    <row r="378" spans="1:14">
      <c r="A378" s="105">
        <v>389</v>
      </c>
      <c r="B378" s="54" t="str">
        <f ca="1">VLOOKUP( $A378, Aop!$A$2:$P$456, 2, 0)</f>
        <v>Aneks</v>
      </c>
      <c r="C378" s="54">
        <f t="shared" ca="1" si="57"/>
        <v>2</v>
      </c>
      <c r="D378" s="54" t="str">
        <f t="shared" ca="1" si="58"/>
        <v>01111329</v>
      </c>
      <c r="E378" s="54" t="str">
        <f t="shared" ca="1" si="59"/>
        <v>4400692320002</v>
      </c>
      <c r="F378" s="54" t="b">
        <f t="shared" ca="1" si="60"/>
        <v>0</v>
      </c>
      <c r="G378" s="226">
        <f t="shared" ca="1" si="61"/>
        <v>44742</v>
      </c>
      <c r="H378" s="54">
        <f ca="1">VLOOKUP( $A378, Aop!$A$2:$P$456, 4, 0)</f>
        <v>638</v>
      </c>
      <c r="I378" s="54">
        <f t="shared" ca="1" si="62"/>
        <v>2022</v>
      </c>
      <c r="J378" s="54"/>
      <c r="K378" s="54"/>
      <c r="L378" s="54"/>
      <c r="M378" s="54">
        <f t="shared" ca="1" si="49"/>
        <v>1341</v>
      </c>
      <c r="N378" s="54">
        <f t="shared" ca="1" si="50"/>
        <v>353</v>
      </c>
    </row>
    <row r="379" spans="1:14">
      <c r="A379" s="105">
        <v>390</v>
      </c>
      <c r="B379" s="54" t="str">
        <f ca="1">VLOOKUP( $A379, Aop!$A$2:$P$456, 2, 0)</f>
        <v>Aneks</v>
      </c>
      <c r="C379" s="54">
        <f t="shared" ca="1" si="57"/>
        <v>2</v>
      </c>
      <c r="D379" s="54" t="str">
        <f t="shared" ca="1" si="58"/>
        <v>01111329</v>
      </c>
      <c r="E379" s="54" t="str">
        <f t="shared" ca="1" si="59"/>
        <v>4400692320002</v>
      </c>
      <c r="F379" s="54" t="b">
        <f t="shared" ca="1" si="60"/>
        <v>0</v>
      </c>
      <c r="G379" s="226">
        <f t="shared" ca="1" si="61"/>
        <v>44742</v>
      </c>
      <c r="H379" s="54">
        <f ca="1">VLOOKUP( $A379, Aop!$A$2:$P$456, 4, 0)</f>
        <v>639</v>
      </c>
      <c r="I379" s="54">
        <f t="shared" ca="1" si="62"/>
        <v>2022</v>
      </c>
      <c r="J379" s="54"/>
      <c r="K379" s="54"/>
      <c r="L379" s="54"/>
      <c r="M379" s="54">
        <f t="shared" ca="1" si="49"/>
        <v>1033451</v>
      </c>
      <c r="N379" s="54">
        <f t="shared" ca="1" si="50"/>
        <v>139934</v>
      </c>
    </row>
    <row r="380" spans="1:14">
      <c r="A380" s="105">
        <v>391</v>
      </c>
      <c r="B380" s="54" t="str">
        <f ca="1">VLOOKUP( $A380, Aop!$A$2:$P$456, 2, 0)</f>
        <v>Aneks</v>
      </c>
      <c r="C380" s="54">
        <f t="shared" ca="1" si="57"/>
        <v>2</v>
      </c>
      <c r="D380" s="54" t="str">
        <f t="shared" ca="1" si="58"/>
        <v>01111329</v>
      </c>
      <c r="E380" s="54" t="str">
        <f t="shared" ca="1" si="59"/>
        <v>4400692320002</v>
      </c>
      <c r="F380" s="54" t="b">
        <f t="shared" ca="1" si="60"/>
        <v>0</v>
      </c>
      <c r="G380" s="226">
        <f t="shared" ca="1" si="61"/>
        <v>44742</v>
      </c>
      <c r="H380" s="54">
        <f ca="1">VLOOKUP( $A380, Aop!$A$2:$P$456, 4, 0)</f>
        <v>640</v>
      </c>
      <c r="I380" s="54">
        <f t="shared" ca="1" si="62"/>
        <v>2022</v>
      </c>
      <c r="J380" s="54"/>
      <c r="K380" s="54"/>
      <c r="L380" s="54"/>
      <c r="M380" s="54" t="str">
        <f t="shared" ca="1" si="49"/>
        <v/>
      </c>
      <c r="N380" s="54" t="str">
        <f t="shared" ca="1" si="50"/>
        <v/>
      </c>
    </row>
    <row r="381" spans="1:14">
      <c r="A381" s="105">
        <v>392</v>
      </c>
      <c r="B381" s="54" t="str">
        <f ca="1">VLOOKUP( $A381, Aop!$A$2:$P$456, 2, 0)</f>
        <v>Aneks</v>
      </c>
      <c r="C381" s="54">
        <f t="shared" ref="C381:C412" ca="1" si="63">ID_Izvjestaj</f>
        <v>2</v>
      </c>
      <c r="D381" s="54" t="str">
        <f t="shared" ref="D381:D412" ca="1" si="64">Podatak_MB</f>
        <v>01111329</v>
      </c>
      <c r="E381" s="54" t="str">
        <f t="shared" ref="E381:E412" ca="1" si="65">Podatak_JIB</f>
        <v>4400692320002</v>
      </c>
      <c r="F381" s="54" t="b">
        <f t="shared" ref="F381:F412" ca="1" si="66">Konsolidovan_izvjestaj</f>
        <v>0</v>
      </c>
      <c r="G381" s="226">
        <f t="shared" ca="1" si="61"/>
        <v>44742</v>
      </c>
      <c r="H381" s="54">
        <f ca="1">VLOOKUP( $A381, Aop!$A$2:$P$456, 4, 0)</f>
        <v>641</v>
      </c>
      <c r="I381" s="54">
        <f t="shared" ref="I381:I412" ca="1" si="67">Godina</f>
        <v>2022</v>
      </c>
      <c r="J381" s="54"/>
      <c r="K381" s="54"/>
      <c r="L381" s="54"/>
      <c r="M381" s="54">
        <f t="shared" ref="M381:M398" ca="1" si="68">IF( VLOOKUP( $H381, INDIRECT( "Lookup_" &amp; $B381), IF( LEFT( $B381, 2) = "BS", S$2, S$1), 0) = "", "", VLOOKUP( $H381, INDIRECT( "Lookup_" &amp; $B381), IF( LEFT( $B381, 2) = "BS", S$2, S$1), 0))</f>
        <v>520870</v>
      </c>
      <c r="N381" s="54">
        <f t="shared" ref="N381:N398" ca="1" si="69">IF( VLOOKUP( $H381, INDIRECT( "Lookup_" &amp; $B381), IF( LEFT( $B381, 2) = "BS", T$2, T$1), 0) = "", "", VLOOKUP( $H381, INDIRECT( "Lookup_" &amp; $B381), IF( LEFT( $B381, 2) = "BS", T$2, T$1), 0))</f>
        <v>4550</v>
      </c>
    </row>
    <row r="382" spans="1:14">
      <c r="A382" s="105">
        <v>393</v>
      </c>
      <c r="B382" s="54" t="str">
        <f ca="1">VLOOKUP( $A382, Aop!$A$2:$P$456, 2, 0)</f>
        <v>Aneks</v>
      </c>
      <c r="C382" s="54">
        <f t="shared" ca="1" si="63"/>
        <v>2</v>
      </c>
      <c r="D382" s="54" t="str">
        <f t="shared" ca="1" si="64"/>
        <v>01111329</v>
      </c>
      <c r="E382" s="54" t="str">
        <f t="shared" ca="1" si="65"/>
        <v>4400692320002</v>
      </c>
      <c r="F382" s="54" t="b">
        <f t="shared" ca="1" si="66"/>
        <v>0</v>
      </c>
      <c r="G382" s="226">
        <f t="shared" ca="1" si="61"/>
        <v>44742</v>
      </c>
      <c r="H382" s="54">
        <f ca="1">VLOOKUP( $A382, Aop!$A$2:$P$456, 4, 0)</f>
        <v>642</v>
      </c>
      <c r="I382" s="54">
        <f t="shared" ca="1" si="67"/>
        <v>2022</v>
      </c>
      <c r="J382" s="54"/>
      <c r="K382" s="54"/>
      <c r="L382" s="54"/>
      <c r="M382" s="54">
        <f t="shared" ca="1" si="68"/>
        <v>34964</v>
      </c>
      <c r="N382" s="54">
        <f t="shared" ca="1" si="69"/>
        <v>12039</v>
      </c>
    </row>
    <row r="383" spans="1:14">
      <c r="A383" s="105">
        <v>394</v>
      </c>
      <c r="B383" s="54" t="str">
        <f ca="1">VLOOKUP( $A383, Aop!$A$2:$P$456, 2, 0)</f>
        <v>Aneks</v>
      </c>
      <c r="C383" s="54">
        <f t="shared" ca="1" si="63"/>
        <v>2</v>
      </c>
      <c r="D383" s="54" t="str">
        <f t="shared" ca="1" si="64"/>
        <v>01111329</v>
      </c>
      <c r="E383" s="54" t="str">
        <f t="shared" ca="1" si="65"/>
        <v>4400692320002</v>
      </c>
      <c r="F383" s="54" t="b">
        <f t="shared" ca="1" si="66"/>
        <v>0</v>
      </c>
      <c r="G383" s="226">
        <f t="shared" ca="1" si="61"/>
        <v>44742</v>
      </c>
      <c r="H383" s="54">
        <f ca="1">VLOOKUP( $A383, Aop!$A$2:$P$456, 4, 0)</f>
        <v>643</v>
      </c>
      <c r="I383" s="54">
        <f t="shared" ca="1" si="67"/>
        <v>2022</v>
      </c>
      <c r="J383" s="54"/>
      <c r="K383" s="54"/>
      <c r="L383" s="54"/>
      <c r="M383" s="54" t="str">
        <f t="shared" ca="1" si="68"/>
        <v/>
      </c>
      <c r="N383" s="54" t="str">
        <f t="shared" ca="1" si="69"/>
        <v/>
      </c>
    </row>
    <row r="384" spans="1:14">
      <c r="A384" s="105">
        <v>395</v>
      </c>
      <c r="B384" s="54" t="str">
        <f ca="1">VLOOKUP( $A384, Aop!$A$2:$P$456, 2, 0)</f>
        <v>Aneks</v>
      </c>
      <c r="C384" s="54">
        <f t="shared" ca="1" si="63"/>
        <v>2</v>
      </c>
      <c r="D384" s="54" t="str">
        <f t="shared" ca="1" si="64"/>
        <v>01111329</v>
      </c>
      <c r="E384" s="54" t="str">
        <f t="shared" ca="1" si="65"/>
        <v>4400692320002</v>
      </c>
      <c r="F384" s="54" t="b">
        <f t="shared" ca="1" si="66"/>
        <v>0</v>
      </c>
      <c r="G384" s="226">
        <f t="shared" ca="1" si="61"/>
        <v>44742</v>
      </c>
      <c r="H384" s="54">
        <f ca="1">VLOOKUP( $A384, Aop!$A$2:$P$456, 4, 0)</f>
        <v>644</v>
      </c>
      <c r="I384" s="54">
        <f t="shared" ca="1" si="67"/>
        <v>2022</v>
      </c>
      <c r="J384" s="54"/>
      <c r="K384" s="54"/>
      <c r="L384" s="54"/>
      <c r="M384" s="54">
        <f t="shared" ca="1" si="68"/>
        <v>234</v>
      </c>
      <c r="N384" s="54" t="str">
        <f t="shared" ca="1" si="69"/>
        <v/>
      </c>
    </row>
    <row r="385" spans="1:14">
      <c r="A385" s="105">
        <v>396</v>
      </c>
      <c r="B385" s="54" t="str">
        <f ca="1">VLOOKUP( $A385, Aop!$A$2:$P$456, 2, 0)</f>
        <v>Aneks</v>
      </c>
      <c r="C385" s="54">
        <f t="shared" ca="1" si="63"/>
        <v>2</v>
      </c>
      <c r="D385" s="54" t="str">
        <f t="shared" ca="1" si="64"/>
        <v>01111329</v>
      </c>
      <c r="E385" s="54" t="str">
        <f t="shared" ca="1" si="65"/>
        <v>4400692320002</v>
      </c>
      <c r="F385" s="54" t="b">
        <f t="shared" ca="1" si="66"/>
        <v>0</v>
      </c>
      <c r="G385" s="226">
        <f t="shared" ca="1" si="61"/>
        <v>44742</v>
      </c>
      <c r="H385" s="54">
        <f ca="1">VLOOKUP( $A385, Aop!$A$2:$P$456, 4, 0)</f>
        <v>645</v>
      </c>
      <c r="I385" s="54">
        <f t="shared" ca="1" si="67"/>
        <v>2022</v>
      </c>
      <c r="J385" s="54"/>
      <c r="K385" s="54"/>
      <c r="L385" s="54"/>
      <c r="M385" s="54">
        <f t="shared" ca="1" si="68"/>
        <v>25997</v>
      </c>
      <c r="N385" s="54">
        <f t="shared" ca="1" si="69"/>
        <v>122000</v>
      </c>
    </row>
    <row r="386" spans="1:14">
      <c r="A386" s="105">
        <v>397</v>
      </c>
      <c r="B386" s="54" t="str">
        <f ca="1">VLOOKUP( $A386, Aop!$A$2:$P$456, 2, 0)</f>
        <v>Aneks</v>
      </c>
      <c r="C386" s="54">
        <f t="shared" ca="1" si="63"/>
        <v>2</v>
      </c>
      <c r="D386" s="54" t="str">
        <f t="shared" ca="1" si="64"/>
        <v>01111329</v>
      </c>
      <c r="E386" s="54" t="str">
        <f t="shared" ca="1" si="65"/>
        <v>4400692320002</v>
      </c>
      <c r="F386" s="54" t="b">
        <f t="shared" ca="1" si="66"/>
        <v>0</v>
      </c>
      <c r="G386" s="226">
        <f t="shared" ca="1" si="61"/>
        <v>44742</v>
      </c>
      <c r="H386" s="54">
        <f ca="1">VLOOKUP( $A386, Aop!$A$2:$P$456, 4, 0)</f>
        <v>646</v>
      </c>
      <c r="I386" s="54">
        <f t="shared" ca="1" si="67"/>
        <v>2022</v>
      </c>
      <c r="J386" s="54"/>
      <c r="K386" s="54"/>
      <c r="L386" s="54"/>
      <c r="M386" s="54" t="str">
        <f t="shared" ca="1" si="68"/>
        <v/>
      </c>
      <c r="N386" s="54" t="str">
        <f t="shared" ca="1" si="69"/>
        <v/>
      </c>
    </row>
    <row r="387" spans="1:14">
      <c r="A387" s="105">
        <v>398</v>
      </c>
      <c r="B387" s="54" t="str">
        <f ca="1">VLOOKUP( $A387, Aop!$A$2:$P$456, 2, 0)</f>
        <v>Aneks</v>
      </c>
      <c r="C387" s="54">
        <f t="shared" ca="1" si="63"/>
        <v>2</v>
      </c>
      <c r="D387" s="54" t="str">
        <f t="shared" ca="1" si="64"/>
        <v>01111329</v>
      </c>
      <c r="E387" s="54" t="str">
        <f t="shared" ca="1" si="65"/>
        <v>4400692320002</v>
      </c>
      <c r="F387" s="54" t="b">
        <f t="shared" ca="1" si="66"/>
        <v>0</v>
      </c>
      <c r="G387" s="226">
        <f t="shared" ca="1" si="61"/>
        <v>44742</v>
      </c>
      <c r="H387" s="54">
        <f ca="1">VLOOKUP( $A387, Aop!$A$2:$P$456, 4, 0)</f>
        <v>647</v>
      </c>
      <c r="I387" s="54">
        <f t="shared" ca="1" si="67"/>
        <v>2022</v>
      </c>
      <c r="J387" s="54"/>
      <c r="K387" s="54"/>
      <c r="L387" s="54"/>
      <c r="M387" s="54">
        <f t="shared" ca="1" si="68"/>
        <v>451386</v>
      </c>
      <c r="N387" s="54">
        <f t="shared" ca="1" si="69"/>
        <v>1345</v>
      </c>
    </row>
    <row r="388" spans="1:14">
      <c r="A388" s="105">
        <v>399</v>
      </c>
      <c r="B388" s="54" t="str">
        <f ca="1">VLOOKUP( $A388, Aop!$A$2:$P$456, 2, 0)</f>
        <v>Aneks</v>
      </c>
      <c r="C388" s="54">
        <f t="shared" ca="1" si="63"/>
        <v>2</v>
      </c>
      <c r="D388" s="54" t="str">
        <f t="shared" ca="1" si="64"/>
        <v>01111329</v>
      </c>
      <c r="E388" s="54" t="str">
        <f t="shared" ca="1" si="65"/>
        <v>4400692320002</v>
      </c>
      <c r="F388" s="54" t="b">
        <f t="shared" ca="1" si="66"/>
        <v>0</v>
      </c>
      <c r="G388" s="226">
        <f t="shared" ca="1" si="61"/>
        <v>44742</v>
      </c>
      <c r="H388" s="54">
        <f ca="1">VLOOKUP( $A388, Aop!$A$2:$P$456, 4, 0)</f>
        <v>648</v>
      </c>
      <c r="I388" s="54">
        <f t="shared" ca="1" si="67"/>
        <v>2022</v>
      </c>
      <c r="J388" s="54"/>
      <c r="K388" s="54"/>
      <c r="L388" s="54"/>
      <c r="M388" s="54" t="str">
        <f t="shared" ca="1" si="68"/>
        <v/>
      </c>
      <c r="N388" s="54" t="str">
        <f t="shared" ca="1" si="69"/>
        <v/>
      </c>
    </row>
    <row r="389" spans="1:14">
      <c r="A389" s="105">
        <v>400</v>
      </c>
      <c r="B389" s="54" t="str">
        <f ca="1">VLOOKUP( $A389, Aop!$A$2:$P$456, 2, 0)</f>
        <v>Aneks</v>
      </c>
      <c r="C389" s="54">
        <f t="shared" ca="1" si="63"/>
        <v>2</v>
      </c>
      <c r="D389" s="54" t="str">
        <f t="shared" ca="1" si="64"/>
        <v>01111329</v>
      </c>
      <c r="E389" s="54" t="str">
        <f t="shared" ca="1" si="65"/>
        <v>4400692320002</v>
      </c>
      <c r="F389" s="54" t="b">
        <f t="shared" ca="1" si="66"/>
        <v>0</v>
      </c>
      <c r="G389" s="226">
        <f t="shared" ca="1" si="61"/>
        <v>44742</v>
      </c>
      <c r="H389" s="54">
        <f ca="1">VLOOKUP( $A389, Aop!$A$2:$P$456, 4, 0)</f>
        <v>649</v>
      </c>
      <c r="I389" s="54">
        <f t="shared" ca="1" si="67"/>
        <v>2022</v>
      </c>
      <c r="J389" s="54"/>
      <c r="K389" s="54"/>
      <c r="L389" s="54"/>
      <c r="M389" s="54">
        <f t="shared" ca="1" si="68"/>
        <v>181036</v>
      </c>
      <c r="N389" s="54">
        <f t="shared" ca="1" si="69"/>
        <v>88719</v>
      </c>
    </row>
    <row r="390" spans="1:14">
      <c r="A390" s="105">
        <v>401</v>
      </c>
      <c r="B390" s="54" t="str">
        <f ca="1">VLOOKUP( $A390, Aop!$A$2:$P$456, 2, 0)</f>
        <v>Aneks</v>
      </c>
      <c r="C390" s="54">
        <f t="shared" ca="1" si="63"/>
        <v>2</v>
      </c>
      <c r="D390" s="54" t="str">
        <f t="shared" ca="1" si="64"/>
        <v>01111329</v>
      </c>
      <c r="E390" s="54" t="str">
        <f t="shared" ca="1" si="65"/>
        <v>4400692320002</v>
      </c>
      <c r="F390" s="54" t="b">
        <f t="shared" ca="1" si="66"/>
        <v>0</v>
      </c>
      <c r="G390" s="226">
        <f t="shared" ca="1" si="61"/>
        <v>44742</v>
      </c>
      <c r="H390" s="54">
        <f ca="1">VLOOKUP( $A390, Aop!$A$2:$P$456, 4, 0)</f>
        <v>650</v>
      </c>
      <c r="I390" s="54">
        <f t="shared" ca="1" si="67"/>
        <v>2022</v>
      </c>
      <c r="J390" s="54"/>
      <c r="K390" s="54"/>
      <c r="L390" s="54"/>
      <c r="M390" s="54">
        <f t="shared" ca="1" si="68"/>
        <v>84370</v>
      </c>
      <c r="N390" s="54">
        <f t="shared" ca="1" si="69"/>
        <v>58112</v>
      </c>
    </row>
    <row r="391" spans="1:14">
      <c r="A391" s="105">
        <v>402</v>
      </c>
      <c r="B391" s="54" t="str">
        <f ca="1">VLOOKUP( $A391, Aop!$A$2:$P$456, 2, 0)</f>
        <v>Aneks</v>
      </c>
      <c r="C391" s="54">
        <f t="shared" ca="1" si="63"/>
        <v>2</v>
      </c>
      <c r="D391" s="54" t="str">
        <f t="shared" ca="1" si="64"/>
        <v>01111329</v>
      </c>
      <c r="E391" s="54" t="str">
        <f t="shared" ca="1" si="65"/>
        <v>4400692320002</v>
      </c>
      <c r="F391" s="54" t="b">
        <f t="shared" ca="1" si="66"/>
        <v>0</v>
      </c>
      <c r="G391" s="226">
        <f t="shared" ca="1" si="61"/>
        <v>44742</v>
      </c>
      <c r="H391" s="54">
        <f ca="1">VLOOKUP( $A391, Aop!$A$2:$P$456, 4, 0)</f>
        <v>651</v>
      </c>
      <c r="I391" s="54">
        <f t="shared" ca="1" si="67"/>
        <v>2022</v>
      </c>
      <c r="J391" s="54"/>
      <c r="K391" s="54"/>
      <c r="L391" s="54"/>
      <c r="M391" s="54">
        <f t="shared" ca="1" si="68"/>
        <v>872</v>
      </c>
      <c r="N391" s="54">
        <f t="shared" ca="1" si="69"/>
        <v>256</v>
      </c>
    </row>
    <row r="392" spans="1:14">
      <c r="A392" s="105">
        <v>403</v>
      </c>
      <c r="B392" s="54" t="str">
        <f ca="1">VLOOKUP( $A392, Aop!$A$2:$P$456, 2, 0)</f>
        <v>Aneks</v>
      </c>
      <c r="C392" s="54">
        <f t="shared" ca="1" si="63"/>
        <v>2</v>
      </c>
      <c r="D392" s="54" t="str">
        <f t="shared" ca="1" si="64"/>
        <v>01111329</v>
      </c>
      <c r="E392" s="54" t="str">
        <f t="shared" ca="1" si="65"/>
        <v>4400692320002</v>
      </c>
      <c r="F392" s="54" t="b">
        <f t="shared" ca="1" si="66"/>
        <v>0</v>
      </c>
      <c r="G392" s="226">
        <f t="shared" ca="1" si="61"/>
        <v>44742</v>
      </c>
      <c r="H392" s="54">
        <f ca="1">VLOOKUP( $A392, Aop!$A$2:$P$456, 4, 0)</f>
        <v>652</v>
      </c>
      <c r="I392" s="54">
        <f t="shared" ca="1" si="67"/>
        <v>2022</v>
      </c>
      <c r="J392" s="54"/>
      <c r="K392" s="54"/>
      <c r="L392" s="54"/>
      <c r="M392" s="54">
        <f t="shared" ca="1" si="68"/>
        <v>0</v>
      </c>
      <c r="N392" s="54" t="str">
        <f t="shared" ca="1" si="69"/>
        <v/>
      </c>
    </row>
    <row r="393" spans="1:14">
      <c r="A393" s="105">
        <v>404</v>
      </c>
      <c r="B393" s="54" t="str">
        <f ca="1">VLOOKUP( $A393, Aop!$A$2:$P$456, 2, 0)</f>
        <v>Aneks</v>
      </c>
      <c r="C393" s="54">
        <f t="shared" ca="1" si="63"/>
        <v>2</v>
      </c>
      <c r="D393" s="54" t="str">
        <f t="shared" ca="1" si="64"/>
        <v>01111329</v>
      </c>
      <c r="E393" s="54" t="str">
        <f t="shared" ca="1" si="65"/>
        <v>4400692320002</v>
      </c>
      <c r="F393" s="54" t="b">
        <f t="shared" ca="1" si="66"/>
        <v>0</v>
      </c>
      <c r="G393" s="226">
        <f t="shared" ca="1" si="61"/>
        <v>44742</v>
      </c>
      <c r="H393" s="54">
        <f ca="1">VLOOKUP( $A393, Aop!$A$2:$P$456, 4, 0)</f>
        <v>653</v>
      </c>
      <c r="I393" s="54">
        <f t="shared" ca="1" si="67"/>
        <v>2022</v>
      </c>
      <c r="J393" s="54"/>
      <c r="K393" s="54"/>
      <c r="L393" s="54"/>
      <c r="M393" s="54">
        <f t="shared" ca="1" si="68"/>
        <v>4655</v>
      </c>
      <c r="N393" s="54">
        <f t="shared" ca="1" si="69"/>
        <v>5873</v>
      </c>
    </row>
    <row r="394" spans="1:14">
      <c r="A394" s="105">
        <v>405</v>
      </c>
      <c r="B394" s="54" t="str">
        <f ca="1">VLOOKUP( $A394, Aop!$A$2:$P$456, 2, 0)</f>
        <v>Aneks</v>
      </c>
      <c r="C394" s="54">
        <f t="shared" ca="1" si="63"/>
        <v>2</v>
      </c>
      <c r="D394" s="54" t="str">
        <f t="shared" ca="1" si="64"/>
        <v>01111329</v>
      </c>
      <c r="E394" s="54" t="str">
        <f t="shared" ca="1" si="65"/>
        <v>4400692320002</v>
      </c>
      <c r="F394" s="54" t="b">
        <f t="shared" ca="1" si="66"/>
        <v>0</v>
      </c>
      <c r="G394" s="226">
        <f t="shared" ca="1" si="61"/>
        <v>44742</v>
      </c>
      <c r="H394" s="54">
        <f ca="1">VLOOKUP( $A394, Aop!$A$2:$P$456, 4, 0)</f>
        <v>654</v>
      </c>
      <c r="I394" s="54">
        <f t="shared" ca="1" si="67"/>
        <v>2022</v>
      </c>
      <c r="J394" s="54"/>
      <c r="K394" s="54"/>
      <c r="L394" s="54"/>
      <c r="M394" s="54">
        <f t="shared" ca="1" si="68"/>
        <v>5852</v>
      </c>
      <c r="N394" s="54">
        <f t="shared" ca="1" si="69"/>
        <v>4374</v>
      </c>
    </row>
    <row r="395" spans="1:14">
      <c r="A395" s="105">
        <v>406</v>
      </c>
      <c r="B395" s="54" t="str">
        <f ca="1">VLOOKUP( $A395, Aop!$A$2:$P$456, 2, 0)</f>
        <v>Aneks</v>
      </c>
      <c r="C395" s="54">
        <f t="shared" ca="1" si="63"/>
        <v>2</v>
      </c>
      <c r="D395" s="54" t="str">
        <f t="shared" ca="1" si="64"/>
        <v>01111329</v>
      </c>
      <c r="E395" s="54" t="str">
        <f t="shared" ca="1" si="65"/>
        <v>4400692320002</v>
      </c>
      <c r="F395" s="54" t="b">
        <f t="shared" ca="1" si="66"/>
        <v>0</v>
      </c>
      <c r="G395" s="226">
        <f t="shared" ca="1" si="61"/>
        <v>44742</v>
      </c>
      <c r="H395" s="54">
        <f ca="1">VLOOKUP( $A395, Aop!$A$2:$P$456, 4, 0)</f>
        <v>655</v>
      </c>
      <c r="I395" s="54">
        <f t="shared" ca="1" si="67"/>
        <v>2022</v>
      </c>
      <c r="J395" s="54"/>
      <c r="K395" s="54"/>
      <c r="L395" s="54"/>
      <c r="M395" s="54">
        <f t="shared" ca="1" si="68"/>
        <v>3142</v>
      </c>
      <c r="N395" s="54">
        <f t="shared" ca="1" si="69"/>
        <v>1606</v>
      </c>
    </row>
    <row r="396" spans="1:14">
      <c r="A396" s="105">
        <v>407</v>
      </c>
      <c r="B396" s="54" t="str">
        <f ca="1">VLOOKUP( $A396, Aop!$A$2:$P$456, 2, 0)</f>
        <v>Aneks</v>
      </c>
      <c r="C396" s="54">
        <f t="shared" ca="1" si="63"/>
        <v>2</v>
      </c>
      <c r="D396" s="54" t="str">
        <f t="shared" ca="1" si="64"/>
        <v>01111329</v>
      </c>
      <c r="E396" s="54" t="str">
        <f t="shared" ca="1" si="65"/>
        <v>4400692320002</v>
      </c>
      <c r="F396" s="54" t="b">
        <f t="shared" ca="1" si="66"/>
        <v>0</v>
      </c>
      <c r="G396" s="226">
        <f t="shared" ca="1" si="61"/>
        <v>44742</v>
      </c>
      <c r="H396" s="54">
        <f ca="1">VLOOKUP( $A396, Aop!$A$2:$P$456, 4, 0)</f>
        <v>656</v>
      </c>
      <c r="I396" s="54">
        <f t="shared" ca="1" si="67"/>
        <v>2022</v>
      </c>
      <c r="J396" s="54"/>
      <c r="K396" s="54"/>
      <c r="L396" s="54"/>
      <c r="M396" s="54">
        <f t="shared" ca="1" si="68"/>
        <v>1278</v>
      </c>
      <c r="N396" s="54">
        <f t="shared" ca="1" si="69"/>
        <v>1233</v>
      </c>
    </row>
    <row r="397" spans="1:14">
      <c r="A397" s="105">
        <v>408</v>
      </c>
      <c r="B397" s="54" t="str">
        <f ca="1">VLOOKUP( $A397, Aop!$A$2:$P$456, 2, 0)</f>
        <v>Aneks</v>
      </c>
      <c r="C397" s="54">
        <f t="shared" ca="1" si="63"/>
        <v>2</v>
      </c>
      <c r="D397" s="54" t="str">
        <f t="shared" ca="1" si="64"/>
        <v>01111329</v>
      </c>
      <c r="E397" s="54" t="str">
        <f t="shared" ca="1" si="65"/>
        <v>4400692320002</v>
      </c>
      <c r="F397" s="54" t="b">
        <f t="shared" ca="1" si="66"/>
        <v>0</v>
      </c>
      <c r="G397" s="226">
        <f t="shared" ca="1" si="61"/>
        <v>44742</v>
      </c>
      <c r="H397" s="54">
        <f ca="1">VLOOKUP( $A397, Aop!$A$2:$P$456, 4, 0)</f>
        <v>657</v>
      </c>
      <c r="I397" s="54">
        <f t="shared" ca="1" si="67"/>
        <v>2022</v>
      </c>
      <c r="J397" s="54"/>
      <c r="K397" s="54"/>
      <c r="L397" s="54"/>
      <c r="M397" s="54">
        <f t="shared" ca="1" si="68"/>
        <v>0</v>
      </c>
      <c r="N397" s="54" t="str">
        <f t="shared" ca="1" si="69"/>
        <v/>
      </c>
    </row>
    <row r="398" spans="1:14">
      <c r="A398" s="105">
        <v>409</v>
      </c>
      <c r="B398" s="54" t="str">
        <f ca="1">VLOOKUP( $A398, Aop!$A$2:$P$456, 2, 0)</f>
        <v>Aneks</v>
      </c>
      <c r="C398" s="54">
        <f t="shared" ca="1" si="63"/>
        <v>2</v>
      </c>
      <c r="D398" s="54" t="str">
        <f t="shared" ca="1" si="64"/>
        <v>01111329</v>
      </c>
      <c r="E398" s="54" t="str">
        <f t="shared" ca="1" si="65"/>
        <v>4400692320002</v>
      </c>
      <c r="F398" s="54" t="b">
        <f t="shared" ca="1" si="66"/>
        <v>0</v>
      </c>
      <c r="G398" s="226">
        <f t="shared" ca="1" si="61"/>
        <v>44742</v>
      </c>
      <c r="H398" s="54">
        <f ca="1">VLOOKUP( $A398, Aop!$A$2:$P$456, 4, 0)</f>
        <v>658</v>
      </c>
      <c r="I398" s="54">
        <f t="shared" ca="1" si="67"/>
        <v>2022</v>
      </c>
      <c r="J398" s="54"/>
      <c r="K398" s="54"/>
      <c r="L398" s="54"/>
      <c r="M398" s="54">
        <f t="shared" ca="1" si="68"/>
        <v>27329</v>
      </c>
      <c r="N398" s="54">
        <f t="shared" ca="1" si="69"/>
        <v>11237</v>
      </c>
    </row>
    <row r="399" spans="1:14">
      <c r="A399" s="105">
        <v>410</v>
      </c>
      <c r="B399" s="54" t="str">
        <f ca="1">VLOOKUP( $A399, Aop!$A$2:$P$456, 2, 0)</f>
        <v>Aneks</v>
      </c>
      <c r="C399" s="54">
        <f t="shared" ca="1" si="63"/>
        <v>2</v>
      </c>
      <c r="D399" s="54" t="str">
        <f t="shared" ca="1" si="64"/>
        <v>01111329</v>
      </c>
      <c r="E399" s="54" t="str">
        <f t="shared" ca="1" si="65"/>
        <v>4400692320002</v>
      </c>
      <c r="F399" s="54" t="b">
        <f t="shared" ca="1" si="66"/>
        <v>0</v>
      </c>
      <c r="G399" s="226">
        <f t="shared" ca="1" si="61"/>
        <v>44742</v>
      </c>
      <c r="H399" s="54">
        <f ca="1">VLOOKUP( $A399, Aop!$A$2:$P$456, 4, 0)</f>
        <v>659</v>
      </c>
      <c r="I399" s="54">
        <f t="shared" ca="1" si="67"/>
        <v>2022</v>
      </c>
      <c r="J399" s="54"/>
      <c r="K399" s="54"/>
      <c r="L399" s="54"/>
      <c r="M399" s="54">
        <f t="shared" ref="M399:M407" ca="1" si="70">IF( VLOOKUP( $H399, INDIRECT( "Lookup_" &amp; $B399), IF( LEFT( $B399, 2) = "BS", S$2, S$1), 0) = "", "", VLOOKUP( $H399, INDIRECT( "Lookup_" &amp; $B399), IF( LEFT( $B399, 2) = "BS", S$2, S$1), 0))</f>
        <v>54410</v>
      </c>
      <c r="N399" s="54">
        <f t="shared" ref="N399:N407" ca="1" si="71">IF( VLOOKUP( $H399, INDIRECT( "Lookup_" &amp; $B399), IF( LEFT( $B399, 2) = "BS", T$2, T$1), 0) = "", "", VLOOKUP( $H399, INDIRECT( "Lookup_" &amp; $B399), IF( LEFT( $B399, 2) = "BS", T$2, T$1), 0))</f>
        <v>6284</v>
      </c>
    </row>
    <row r="400" spans="1:14">
      <c r="A400" s="105">
        <v>411</v>
      </c>
      <c r="B400" s="54" t="str">
        <f ca="1">VLOOKUP( $A400, Aop!$A$2:$P$456, 2, 0)</f>
        <v>Aneks</v>
      </c>
      <c r="C400" s="54">
        <f t="shared" ca="1" si="63"/>
        <v>2</v>
      </c>
      <c r="D400" s="54" t="str">
        <f t="shared" ca="1" si="64"/>
        <v>01111329</v>
      </c>
      <c r="E400" s="54" t="str">
        <f t="shared" ca="1" si="65"/>
        <v>4400692320002</v>
      </c>
      <c r="F400" s="54" t="b">
        <f t="shared" ca="1" si="66"/>
        <v>0</v>
      </c>
      <c r="G400" s="226">
        <f t="shared" ca="1" si="61"/>
        <v>44742</v>
      </c>
      <c r="H400" s="54">
        <f ca="1">VLOOKUP( $A400, Aop!$A$2:$P$456, 4, 0)</f>
        <v>660</v>
      </c>
      <c r="I400" s="54">
        <f t="shared" ca="1" si="67"/>
        <v>2022</v>
      </c>
      <c r="J400" s="54"/>
      <c r="K400" s="54"/>
      <c r="L400" s="54"/>
      <c r="M400" s="54" t="str">
        <f t="shared" ca="1" si="70"/>
        <v/>
      </c>
      <c r="N400" s="54" t="str">
        <f t="shared" ca="1" si="71"/>
        <v/>
      </c>
    </row>
    <row r="401" spans="1:14">
      <c r="A401" s="105">
        <v>412</v>
      </c>
      <c r="B401" s="54" t="str">
        <f ca="1">VLOOKUP( $A401, Aop!$A$2:$P$456, 2, 0)</f>
        <v>Aneks</v>
      </c>
      <c r="C401" s="54">
        <f t="shared" ca="1" si="63"/>
        <v>2</v>
      </c>
      <c r="D401" s="54" t="str">
        <f t="shared" ca="1" si="64"/>
        <v>01111329</v>
      </c>
      <c r="E401" s="54" t="str">
        <f t="shared" ca="1" si="65"/>
        <v>4400692320002</v>
      </c>
      <c r="F401" s="54" t="b">
        <f t="shared" ca="1" si="66"/>
        <v>0</v>
      </c>
      <c r="G401" s="226">
        <f t="shared" ca="1" si="61"/>
        <v>44742</v>
      </c>
      <c r="H401" s="54">
        <f ca="1">VLOOKUP( $A401, Aop!$A$2:$P$456, 4, 0)</f>
        <v>661</v>
      </c>
      <c r="I401" s="54">
        <f t="shared" ca="1" si="67"/>
        <v>2022</v>
      </c>
      <c r="J401" s="54"/>
      <c r="K401" s="54"/>
      <c r="L401" s="54"/>
      <c r="M401" s="54">
        <f t="shared" ca="1" si="70"/>
        <v>150906</v>
      </c>
      <c r="N401" s="54">
        <f t="shared" ca="1" si="71"/>
        <v>76340</v>
      </c>
    </row>
    <row r="402" spans="1:14">
      <c r="A402" s="105">
        <v>413</v>
      </c>
      <c r="B402" s="54" t="str">
        <f ca="1">VLOOKUP( $A402, Aop!$A$2:$P$456, 2, 0)</f>
        <v>Aneks</v>
      </c>
      <c r="C402" s="54">
        <f t="shared" ca="1" si="63"/>
        <v>2</v>
      </c>
      <c r="D402" s="54" t="str">
        <f t="shared" ca="1" si="64"/>
        <v>01111329</v>
      </c>
      <c r="E402" s="54" t="str">
        <f t="shared" ca="1" si="65"/>
        <v>4400692320002</v>
      </c>
      <c r="F402" s="54" t="b">
        <f t="shared" ca="1" si="66"/>
        <v>0</v>
      </c>
      <c r="G402" s="226">
        <f t="shared" ca="1" si="61"/>
        <v>44742</v>
      </c>
      <c r="H402" s="54">
        <f ca="1">VLOOKUP( $A402, Aop!$A$2:$P$456, 4, 0)</f>
        <v>662</v>
      </c>
      <c r="I402" s="54">
        <f t="shared" ca="1" si="67"/>
        <v>2022</v>
      </c>
      <c r="J402" s="54"/>
      <c r="K402" s="54"/>
      <c r="L402" s="54"/>
      <c r="M402" s="54">
        <f t="shared" ca="1" si="70"/>
        <v>101071</v>
      </c>
      <c r="N402" s="54">
        <f t="shared" ca="1" si="71"/>
        <v>11478</v>
      </c>
    </row>
    <row r="403" spans="1:14">
      <c r="A403" s="105">
        <v>414</v>
      </c>
      <c r="B403" s="54" t="str">
        <f ca="1">VLOOKUP( $A403, Aop!$A$2:$P$456, 2, 0)</f>
        <v>Aneks</v>
      </c>
      <c r="C403" s="54">
        <f t="shared" ca="1" si="63"/>
        <v>2</v>
      </c>
      <c r="D403" s="54" t="str">
        <f t="shared" ca="1" si="64"/>
        <v>01111329</v>
      </c>
      <c r="E403" s="54" t="str">
        <f t="shared" ca="1" si="65"/>
        <v>4400692320002</v>
      </c>
      <c r="F403" s="54" t="b">
        <f t="shared" ca="1" si="66"/>
        <v>0</v>
      </c>
      <c r="G403" s="226">
        <f t="shared" ca="1" si="61"/>
        <v>44742</v>
      </c>
      <c r="H403" s="54">
        <f ca="1">VLOOKUP( $A403, Aop!$A$2:$P$456, 4, 0)</f>
        <v>663</v>
      </c>
      <c r="I403" s="54">
        <f t="shared" ca="1" si="67"/>
        <v>2022</v>
      </c>
      <c r="J403" s="54"/>
      <c r="K403" s="54"/>
      <c r="L403" s="54"/>
      <c r="M403" s="54" t="str">
        <f t="shared" ca="1" si="70"/>
        <v/>
      </c>
      <c r="N403" s="54" t="str">
        <f t="shared" ca="1" si="71"/>
        <v/>
      </c>
    </row>
    <row r="404" spans="1:14">
      <c r="A404" s="105">
        <v>415</v>
      </c>
      <c r="B404" s="54" t="str">
        <f ca="1">VLOOKUP( $A404, Aop!$A$2:$P$456, 2, 0)</f>
        <v>Aneks</v>
      </c>
      <c r="C404" s="54">
        <f t="shared" ca="1" si="63"/>
        <v>2</v>
      </c>
      <c r="D404" s="54" t="str">
        <f t="shared" ca="1" si="64"/>
        <v>01111329</v>
      </c>
      <c r="E404" s="54" t="str">
        <f t="shared" ca="1" si="65"/>
        <v>4400692320002</v>
      </c>
      <c r="F404" s="54" t="b">
        <f t="shared" ca="1" si="66"/>
        <v>0</v>
      </c>
      <c r="G404" s="226">
        <f t="shared" ca="1" si="61"/>
        <v>44742</v>
      </c>
      <c r="H404" s="54">
        <f ca="1">VLOOKUP( $A404, Aop!$A$2:$P$456, 4, 0)</f>
        <v>664</v>
      </c>
      <c r="I404" s="54">
        <f t="shared" ca="1" si="67"/>
        <v>2022</v>
      </c>
      <c r="J404" s="54"/>
      <c r="K404" s="54"/>
      <c r="L404" s="54"/>
      <c r="M404" s="54" t="str">
        <f t="shared" ca="1" si="70"/>
        <v/>
      </c>
      <c r="N404" s="54" t="str">
        <f t="shared" ca="1" si="71"/>
        <v/>
      </c>
    </row>
    <row r="405" spans="1:14">
      <c r="A405" s="105">
        <v>416</v>
      </c>
      <c r="B405" s="54" t="str">
        <f ca="1">VLOOKUP( $A405, Aop!$A$2:$P$456, 2, 0)</f>
        <v>Aneks</v>
      </c>
      <c r="C405" s="54">
        <f t="shared" ca="1" si="63"/>
        <v>2</v>
      </c>
      <c r="D405" s="54" t="str">
        <f t="shared" ca="1" si="64"/>
        <v>01111329</v>
      </c>
      <c r="E405" s="54" t="str">
        <f t="shared" ca="1" si="65"/>
        <v>4400692320002</v>
      </c>
      <c r="F405" s="54" t="b">
        <f t="shared" ca="1" si="66"/>
        <v>0</v>
      </c>
      <c r="G405" s="226">
        <f t="shared" ca="1" si="61"/>
        <v>44742</v>
      </c>
      <c r="H405" s="54">
        <f ca="1">VLOOKUP( $A405, Aop!$A$2:$P$456, 4, 0)</f>
        <v>665</v>
      </c>
      <c r="I405" s="54">
        <f t="shared" ca="1" si="67"/>
        <v>2022</v>
      </c>
      <c r="J405" s="54"/>
      <c r="K405" s="54"/>
      <c r="L405" s="54"/>
      <c r="M405" s="54" t="str">
        <f t="shared" ca="1" si="70"/>
        <v/>
      </c>
      <c r="N405" s="54" t="str">
        <f t="shared" ca="1" si="71"/>
        <v/>
      </c>
    </row>
    <row r="406" spans="1:14">
      <c r="A406" s="105">
        <v>417</v>
      </c>
      <c r="B406" s="54" t="str">
        <f ca="1">VLOOKUP( $A406, Aop!$A$2:$P$456, 2, 0)</f>
        <v>Aneks</v>
      </c>
      <c r="C406" s="54">
        <f t="shared" ca="1" si="63"/>
        <v>2</v>
      </c>
      <c r="D406" s="54" t="str">
        <f t="shared" ca="1" si="64"/>
        <v>01111329</v>
      </c>
      <c r="E406" s="54" t="str">
        <f t="shared" ca="1" si="65"/>
        <v>4400692320002</v>
      </c>
      <c r="F406" s="54" t="b">
        <f t="shared" ca="1" si="66"/>
        <v>0</v>
      </c>
      <c r="G406" s="226">
        <f t="shared" ca="1" si="61"/>
        <v>44742</v>
      </c>
      <c r="H406" s="54">
        <f ca="1">VLOOKUP( $A406, Aop!$A$2:$P$456, 4, 0)</f>
        <v>666</v>
      </c>
      <c r="I406" s="54">
        <f t="shared" ca="1" si="67"/>
        <v>2022</v>
      </c>
      <c r="J406" s="54"/>
      <c r="K406" s="54"/>
      <c r="L406" s="54"/>
      <c r="M406" s="54" t="str">
        <f t="shared" ca="1" si="70"/>
        <v/>
      </c>
      <c r="N406" s="54" t="str">
        <f t="shared" ca="1" si="71"/>
        <v/>
      </c>
    </row>
    <row r="407" spans="1:14">
      <c r="A407" s="105">
        <v>418</v>
      </c>
      <c r="B407" s="54" t="str">
        <f ca="1">VLOOKUP( $A407, Aop!$A$2:$P$456, 2, 0)</f>
        <v>Aneks</v>
      </c>
      <c r="C407" s="54">
        <f t="shared" ca="1" si="63"/>
        <v>2</v>
      </c>
      <c r="D407" s="54" t="str">
        <f t="shared" ca="1" si="64"/>
        <v>01111329</v>
      </c>
      <c r="E407" s="54" t="str">
        <f t="shared" ca="1" si="65"/>
        <v>4400692320002</v>
      </c>
      <c r="F407" s="54" t="b">
        <f t="shared" ca="1" si="66"/>
        <v>0</v>
      </c>
      <c r="G407" s="226">
        <f t="shared" ca="1" si="61"/>
        <v>44742</v>
      </c>
      <c r="H407" s="54">
        <f ca="1">VLOOKUP( $A407, Aop!$A$2:$P$456, 4, 0)</f>
        <v>667</v>
      </c>
      <c r="I407" s="54">
        <f t="shared" ca="1" si="67"/>
        <v>2022</v>
      </c>
      <c r="J407" s="54"/>
      <c r="K407" s="54"/>
      <c r="L407" s="54"/>
      <c r="M407" s="54" t="str">
        <f t="shared" ca="1" si="70"/>
        <v/>
      </c>
      <c r="N407" s="54" t="str">
        <f t="shared" ca="1" si="71"/>
        <v/>
      </c>
    </row>
    <row r="408" spans="1:14">
      <c r="A408" s="105">
        <v>419</v>
      </c>
      <c r="B408" s="54" t="str">
        <f ca="1">VLOOKUP( $A408, Aop!$A$2:$P$456, 2, 0)</f>
        <v>Aneks</v>
      </c>
      <c r="C408" s="54">
        <f t="shared" ca="1" si="63"/>
        <v>2</v>
      </c>
      <c r="D408" s="54" t="str">
        <f t="shared" ca="1" si="64"/>
        <v>01111329</v>
      </c>
      <c r="E408" s="54" t="str">
        <f t="shared" ca="1" si="65"/>
        <v>4400692320002</v>
      </c>
      <c r="F408" s="54" t="b">
        <f t="shared" ca="1" si="66"/>
        <v>0</v>
      </c>
      <c r="G408" s="226">
        <f t="shared" ca="1" si="61"/>
        <v>44742</v>
      </c>
      <c r="H408" s="54">
        <f ca="1">VLOOKUP( $A408, Aop!$A$2:$P$456, 4, 0)</f>
        <v>668</v>
      </c>
      <c r="I408" s="54">
        <f t="shared" ca="1" si="67"/>
        <v>2022</v>
      </c>
      <c r="J408" s="54"/>
      <c r="K408" s="54"/>
      <c r="L408" s="54"/>
      <c r="M408" s="54" t="str">
        <f t="shared" ref="M408:N415" ca="1" si="72">IF( VLOOKUP( $H408, INDIRECT( "Lookup_" &amp; $B408), IF( LEFT( $B408, 2) = "BS", S$2, S$1), 0) = "", "", VLOOKUP( $H408, INDIRECT( "Lookup_" &amp; $B408), IF( LEFT( $B408, 2) = "BS", S$2, S$1), 0))</f>
        <v/>
      </c>
      <c r="N408" s="54" t="str">
        <f t="shared" ca="1" si="72"/>
        <v/>
      </c>
    </row>
    <row r="409" spans="1:14">
      <c r="A409" s="105">
        <v>420</v>
      </c>
      <c r="B409" s="54" t="str">
        <f ca="1">VLOOKUP( $A409, Aop!$A$2:$P$456, 2, 0)</f>
        <v>Aneks</v>
      </c>
      <c r="C409" s="54">
        <f t="shared" ca="1" si="63"/>
        <v>2</v>
      </c>
      <c r="D409" s="54" t="str">
        <f t="shared" ca="1" si="64"/>
        <v>01111329</v>
      </c>
      <c r="E409" s="54" t="str">
        <f t="shared" ca="1" si="65"/>
        <v>4400692320002</v>
      </c>
      <c r="F409" s="54" t="b">
        <f t="shared" ca="1" si="66"/>
        <v>0</v>
      </c>
      <c r="G409" s="226">
        <f t="shared" ca="1" si="61"/>
        <v>44742</v>
      </c>
      <c r="H409" s="54">
        <f ca="1">VLOOKUP( $A409, Aop!$A$2:$P$456, 4, 0)</f>
        <v>669</v>
      </c>
      <c r="I409" s="54">
        <f t="shared" ca="1" si="67"/>
        <v>2022</v>
      </c>
      <c r="J409" s="54"/>
      <c r="K409" s="54"/>
      <c r="L409" s="54"/>
      <c r="M409" s="54" t="str">
        <f t="shared" ca="1" si="72"/>
        <v/>
      </c>
      <c r="N409" s="54" t="str">
        <f t="shared" ca="1" si="72"/>
        <v/>
      </c>
    </row>
    <row r="410" spans="1:14">
      <c r="A410" s="105">
        <v>421</v>
      </c>
      <c r="B410" s="54" t="str">
        <f ca="1">VLOOKUP( $A410, Aop!$A$2:$P$456, 2, 0)</f>
        <v>Aneks</v>
      </c>
      <c r="C410" s="54">
        <f t="shared" ca="1" si="63"/>
        <v>2</v>
      </c>
      <c r="D410" s="54" t="str">
        <f t="shared" ca="1" si="64"/>
        <v>01111329</v>
      </c>
      <c r="E410" s="54" t="str">
        <f t="shared" ca="1" si="65"/>
        <v>4400692320002</v>
      </c>
      <c r="F410" s="54" t="b">
        <f t="shared" ca="1" si="66"/>
        <v>0</v>
      </c>
      <c r="G410" s="226">
        <f t="shared" ca="1" si="61"/>
        <v>44742</v>
      </c>
      <c r="H410" s="54">
        <f ca="1">VLOOKUP( $A410, Aop!$A$2:$P$456, 4, 0)</f>
        <v>670</v>
      </c>
      <c r="I410" s="54">
        <f t="shared" ca="1" si="67"/>
        <v>2022</v>
      </c>
      <c r="J410" s="54"/>
      <c r="K410" s="54"/>
      <c r="L410" s="54"/>
      <c r="M410" s="54" t="str">
        <f t="shared" ca="1" si="72"/>
        <v/>
      </c>
      <c r="N410" s="54" t="str">
        <f t="shared" ca="1" si="72"/>
        <v/>
      </c>
    </row>
    <row r="411" spans="1:14">
      <c r="A411" s="105">
        <v>422</v>
      </c>
      <c r="B411" s="54" t="str">
        <f ca="1">VLOOKUP( $A411, Aop!$A$2:$P$456, 2, 0)</f>
        <v>BPK</v>
      </c>
      <c r="C411" s="54">
        <f t="shared" ca="1" si="63"/>
        <v>2</v>
      </c>
      <c r="D411" s="54" t="str">
        <f t="shared" ca="1" si="64"/>
        <v>01111329</v>
      </c>
      <c r="E411" s="54" t="str">
        <f t="shared" ca="1" si="65"/>
        <v>4400692320002</v>
      </c>
      <c r="F411" s="54" t="b">
        <f t="shared" ca="1" si="66"/>
        <v>0</v>
      </c>
      <c r="G411" s="226">
        <f t="shared" ca="1" si="61"/>
        <v>44742</v>
      </c>
      <c r="H411" s="54">
        <f ca="1">VLOOKUP( $A411, Aop!$A$2:$P$456, 4, 0)</f>
        <v>0</v>
      </c>
      <c r="I411" s="54">
        <f t="shared" ca="1" si="67"/>
        <v>2022</v>
      </c>
      <c r="J411" s="54"/>
      <c r="K411" s="54"/>
      <c r="L411" s="54"/>
      <c r="M411" s="54" t="str">
        <f t="shared" ca="1" si="72"/>
        <v/>
      </c>
      <c r="N411" s="54" t="str">
        <f t="shared" ca="1" si="72"/>
        <v/>
      </c>
    </row>
    <row r="412" spans="1:14">
      <c r="A412" s="105">
        <v>423</v>
      </c>
      <c r="B412" s="54" t="str">
        <f ca="1">VLOOKUP( $A412, Aop!$A$2:$P$456, 2, 0)</f>
        <v>BPK</v>
      </c>
      <c r="C412" s="54">
        <f t="shared" ca="1" si="63"/>
        <v>2</v>
      </c>
      <c r="D412" s="54" t="str">
        <f t="shared" ca="1" si="64"/>
        <v>01111329</v>
      </c>
      <c r="E412" s="54" t="str">
        <f t="shared" ca="1" si="65"/>
        <v>4400692320002</v>
      </c>
      <c r="F412" s="54" t="b">
        <f t="shared" ca="1" si="66"/>
        <v>0</v>
      </c>
      <c r="G412" s="226">
        <f t="shared" ca="1" si="61"/>
        <v>44742</v>
      </c>
      <c r="H412" s="54">
        <f ca="1">VLOOKUP( $A412, Aop!$A$2:$P$456, 4, 0)</f>
        <v>901</v>
      </c>
      <c r="I412" s="54">
        <f t="shared" ca="1" si="67"/>
        <v>2022</v>
      </c>
      <c r="J412" s="54"/>
      <c r="K412" s="54"/>
      <c r="L412" s="54"/>
      <c r="M412" s="54">
        <f t="shared" ca="1" si="72"/>
        <v>50777428</v>
      </c>
      <c r="N412" s="54" t="str">
        <f t="shared" ca="1" si="72"/>
        <v/>
      </c>
    </row>
    <row r="413" spans="1:14">
      <c r="A413" s="105">
        <v>424</v>
      </c>
      <c r="B413" s="54" t="str">
        <f ca="1">VLOOKUP( $A413, Aop!$A$2:$P$456, 2, 0)</f>
        <v>BPK</v>
      </c>
      <c r="C413" s="54">
        <f t="shared" ref="C413:C444" ca="1" si="73">ID_Izvjestaj</f>
        <v>2</v>
      </c>
      <c r="D413" s="54" t="str">
        <f t="shared" ref="D413:D444" ca="1" si="74">Podatak_MB</f>
        <v>01111329</v>
      </c>
      <c r="E413" s="54" t="str">
        <f t="shared" ref="E413:E444" ca="1" si="75">Podatak_JIB</f>
        <v>4400692320002</v>
      </c>
      <c r="F413" s="54" t="b">
        <f t="shared" ref="F413:F444" ca="1" si="76">Konsolidovan_izvjestaj</f>
        <v>0</v>
      </c>
      <c r="G413" s="226">
        <f t="shared" ca="1" si="61"/>
        <v>44742</v>
      </c>
      <c r="H413" s="54">
        <f ca="1">VLOOKUP( $A413, Aop!$A$2:$P$456, 4, 0)</f>
        <v>0</v>
      </c>
      <c r="I413" s="54">
        <f t="shared" ref="I413:I444" ca="1" si="77">Godina</f>
        <v>2022</v>
      </c>
      <c r="J413" s="54"/>
      <c r="K413" s="54"/>
      <c r="L413" s="54"/>
      <c r="M413" s="54" t="str">
        <f t="shared" ca="1" si="72"/>
        <v/>
      </c>
      <c r="N413" s="54" t="str">
        <f t="shared" ca="1" si="72"/>
        <v/>
      </c>
    </row>
    <row r="414" spans="1:14">
      <c r="A414" s="105">
        <v>425</v>
      </c>
      <c r="B414" s="54" t="str">
        <f ca="1">VLOOKUP( $A414, Aop!$A$2:$P$456, 2, 0)</f>
        <v>BPK</v>
      </c>
      <c r="C414" s="54">
        <f t="shared" ca="1" si="73"/>
        <v>2</v>
      </c>
      <c r="D414" s="54" t="str">
        <f t="shared" ca="1" si="74"/>
        <v>01111329</v>
      </c>
      <c r="E414" s="54" t="str">
        <f t="shared" ca="1" si="75"/>
        <v>4400692320002</v>
      </c>
      <c r="F414" s="54" t="b">
        <f t="shared" ca="1" si="76"/>
        <v>0</v>
      </c>
      <c r="G414" s="226">
        <f t="shared" ca="1" si="61"/>
        <v>44742</v>
      </c>
      <c r="H414" s="54">
        <f ca="1">VLOOKUP( $A414, Aop!$A$2:$P$456, 4, 0)</f>
        <v>902</v>
      </c>
      <c r="I414" s="54">
        <f t="shared" ca="1" si="77"/>
        <v>2022</v>
      </c>
      <c r="J414" s="54"/>
      <c r="K414" s="54"/>
      <c r="L414" s="54"/>
      <c r="M414" s="54" t="str">
        <f t="shared" ca="1" si="72"/>
        <v/>
      </c>
      <c r="N414" s="54" t="str">
        <f t="shared" ca="1" si="72"/>
        <v/>
      </c>
    </row>
    <row r="415" spans="1:14">
      <c r="A415" s="105">
        <v>426</v>
      </c>
      <c r="B415" s="54" t="str">
        <f ca="1">VLOOKUP( $A415, Aop!$A$2:$P$456, 2, 0)</f>
        <v>BPK</v>
      </c>
      <c r="C415" s="54">
        <f t="shared" ca="1" si="73"/>
        <v>2</v>
      </c>
      <c r="D415" s="54" t="str">
        <f t="shared" ca="1" si="74"/>
        <v>01111329</v>
      </c>
      <c r="E415" s="54" t="str">
        <f t="shared" ca="1" si="75"/>
        <v>4400692320002</v>
      </c>
      <c r="F415" s="54" t="b">
        <f t="shared" ca="1" si="76"/>
        <v>0</v>
      </c>
      <c r="G415" s="226">
        <f t="shared" ca="1" si="61"/>
        <v>44742</v>
      </c>
      <c r="H415" s="54">
        <f ca="1">VLOOKUP( $A415, Aop!$A$2:$P$456, 4, 0)</f>
        <v>903</v>
      </c>
      <c r="I415" s="54">
        <f t="shared" ca="1" si="77"/>
        <v>2022</v>
      </c>
      <c r="J415" s="54"/>
      <c r="K415" s="54"/>
      <c r="L415" s="54"/>
      <c r="M415" s="54" t="str">
        <f t="shared" ca="1" si="72"/>
        <v/>
      </c>
      <c r="N415" s="54" t="str">
        <f t="shared" ca="1" si="72"/>
        <v/>
      </c>
    </row>
    <row r="416" spans="1:14">
      <c r="A416" s="105">
        <v>427</v>
      </c>
      <c r="B416" s="54" t="str">
        <f ca="1">VLOOKUP( $A416, Aop!$A$2:$P$456, 2, 0)</f>
        <v>BPK</v>
      </c>
      <c r="C416" s="54">
        <f t="shared" ca="1" si="73"/>
        <v>2</v>
      </c>
      <c r="D416" s="54" t="str">
        <f t="shared" ca="1" si="74"/>
        <v>01111329</v>
      </c>
      <c r="E416" s="54" t="str">
        <f t="shared" ca="1" si="75"/>
        <v>4400692320002</v>
      </c>
      <c r="F416" s="54" t="b">
        <f t="shared" ca="1" si="76"/>
        <v>0</v>
      </c>
      <c r="G416" s="226">
        <f t="shared" ca="1" si="61"/>
        <v>44742</v>
      </c>
      <c r="H416" s="54">
        <f ca="1">VLOOKUP( $A416, Aop!$A$2:$P$456, 4, 0)</f>
        <v>904</v>
      </c>
      <c r="I416" s="54">
        <f t="shared" ca="1" si="77"/>
        <v>2022</v>
      </c>
      <c r="J416" s="54"/>
      <c r="K416" s="54"/>
      <c r="L416" s="54"/>
      <c r="M416" s="54">
        <f t="shared" ref="M416:M422" ca="1" si="78">IF( VLOOKUP( $H416, INDIRECT( "Lookup_" &amp; $B416), IF( LEFT( $B416, 2) = "BS", S$2, S$1), 0) = "", "", VLOOKUP( $H416, INDIRECT( "Lookup_" &amp; $B416), IF( LEFT( $B416, 2) = "BS", S$2, S$1), 0))</f>
        <v>50777428</v>
      </c>
      <c r="N416" s="54">
        <f t="shared" ref="N416:N422" ca="1" si="79">IF( VLOOKUP( $H416, INDIRECT( "Lookup_" &amp; $B416), IF( LEFT( $B416, 2) = "BS", T$2, T$1), 0) = "", "", VLOOKUP( $H416, INDIRECT( "Lookup_" &amp; $B416), IF( LEFT( $B416, 2) = "BS", T$2, T$1), 0))</f>
        <v>0</v>
      </c>
    </row>
    <row r="417" spans="1:14">
      <c r="A417" s="105">
        <v>428</v>
      </c>
      <c r="B417" s="54" t="str">
        <f ca="1">VLOOKUP( $A417, Aop!$A$2:$P$456, 2, 0)</f>
        <v>BPK</v>
      </c>
      <c r="C417" s="54">
        <f t="shared" ca="1" si="73"/>
        <v>2</v>
      </c>
      <c r="D417" s="54" t="str">
        <f t="shared" ca="1" si="74"/>
        <v>01111329</v>
      </c>
      <c r="E417" s="54" t="str">
        <f t="shared" ca="1" si="75"/>
        <v>4400692320002</v>
      </c>
      <c r="F417" s="54" t="b">
        <f t="shared" ca="1" si="76"/>
        <v>0</v>
      </c>
      <c r="G417" s="226">
        <f t="shared" ca="1" si="61"/>
        <v>44742</v>
      </c>
      <c r="H417" s="54">
        <f ca="1">VLOOKUP( $A417, Aop!$A$2:$P$456, 4, 0)</f>
        <v>0</v>
      </c>
      <c r="I417" s="54">
        <f t="shared" ca="1" si="77"/>
        <v>2022</v>
      </c>
      <c r="J417" s="54"/>
      <c r="K417" s="54"/>
      <c r="L417" s="54"/>
      <c r="M417" s="54" t="str">
        <f t="shared" ca="1" si="78"/>
        <v/>
      </c>
      <c r="N417" s="54" t="str">
        <f t="shared" ca="1" si="79"/>
        <v/>
      </c>
    </row>
    <row r="418" spans="1:14">
      <c r="A418" s="105">
        <v>429</v>
      </c>
      <c r="B418" s="54" t="str">
        <f ca="1">VLOOKUP( $A418, Aop!$A$2:$P$456, 2, 0)</f>
        <v>BPK</v>
      </c>
      <c r="C418" s="54">
        <f t="shared" ca="1" si="73"/>
        <v>2</v>
      </c>
      <c r="D418" s="54" t="str">
        <f t="shared" ca="1" si="74"/>
        <v>01111329</v>
      </c>
      <c r="E418" s="54" t="str">
        <f t="shared" ca="1" si="75"/>
        <v>4400692320002</v>
      </c>
      <c r="F418" s="54" t="b">
        <f t="shared" ca="1" si="76"/>
        <v>0</v>
      </c>
      <c r="G418" s="226">
        <f t="shared" ca="1" si="61"/>
        <v>44742</v>
      </c>
      <c r="H418" s="54">
        <f ca="1">VLOOKUP( $A418, Aop!$A$2:$P$456, 4, 0)</f>
        <v>905</v>
      </c>
      <c r="I418" s="54">
        <f t="shared" ca="1" si="77"/>
        <v>2022</v>
      </c>
      <c r="J418" s="54"/>
      <c r="K418" s="54"/>
      <c r="L418" s="54"/>
      <c r="M418" s="54" t="str">
        <f t="shared" ca="1" si="78"/>
        <v/>
      </c>
      <c r="N418" s="54" t="str">
        <f t="shared" ca="1" si="79"/>
        <v/>
      </c>
    </row>
    <row r="419" spans="1:14">
      <c r="A419" s="105">
        <v>430</v>
      </c>
      <c r="B419" s="54" t="str">
        <f ca="1">VLOOKUP( $A419, Aop!$A$2:$P$456, 2, 0)</f>
        <v>BPK</v>
      </c>
      <c r="C419" s="54">
        <f t="shared" ca="1" si="73"/>
        <v>2</v>
      </c>
      <c r="D419" s="54" t="str">
        <f t="shared" ca="1" si="74"/>
        <v>01111329</v>
      </c>
      <c r="E419" s="54" t="str">
        <f t="shared" ca="1" si="75"/>
        <v>4400692320002</v>
      </c>
      <c r="F419" s="54" t="b">
        <f t="shared" ca="1" si="76"/>
        <v>0</v>
      </c>
      <c r="G419" s="226">
        <f t="shared" ca="1" si="61"/>
        <v>44742</v>
      </c>
      <c r="H419" s="54">
        <f ca="1">VLOOKUP( $A419, Aop!$A$2:$P$456, 4, 0)</f>
        <v>906</v>
      </c>
      <c r="I419" s="54">
        <f t="shared" ca="1" si="77"/>
        <v>2022</v>
      </c>
      <c r="J419" s="54"/>
      <c r="K419" s="54"/>
      <c r="L419" s="54"/>
      <c r="M419" s="54" t="str">
        <f t="shared" ca="1" si="78"/>
        <v/>
      </c>
      <c r="N419" s="54" t="str">
        <f t="shared" ca="1" si="79"/>
        <v/>
      </c>
    </row>
    <row r="420" spans="1:14">
      <c r="A420" s="105">
        <v>431</v>
      </c>
      <c r="B420" s="54" t="str">
        <f ca="1">VLOOKUP( $A420, Aop!$A$2:$P$456, 2, 0)</f>
        <v>BPK</v>
      </c>
      <c r="C420" s="54">
        <f t="shared" ca="1" si="73"/>
        <v>2</v>
      </c>
      <c r="D420" s="54" t="str">
        <f t="shared" ca="1" si="74"/>
        <v>01111329</v>
      </c>
      <c r="E420" s="54" t="str">
        <f t="shared" ca="1" si="75"/>
        <v>4400692320002</v>
      </c>
      <c r="F420" s="54" t="b">
        <f t="shared" ca="1" si="76"/>
        <v>0</v>
      </c>
      <c r="G420" s="226">
        <f t="shared" ca="1" si="61"/>
        <v>44742</v>
      </c>
      <c r="H420" s="54">
        <f ca="1">VLOOKUP( $A420, Aop!$A$2:$P$456, 4, 0)</f>
        <v>907</v>
      </c>
      <c r="I420" s="54">
        <f t="shared" ca="1" si="77"/>
        <v>2022</v>
      </c>
      <c r="J420" s="54"/>
      <c r="K420" s="54"/>
      <c r="L420" s="54"/>
      <c r="M420" s="54">
        <f t="shared" ca="1" si="78"/>
        <v>0</v>
      </c>
      <c r="N420" s="54">
        <f t="shared" ca="1" si="79"/>
        <v>0</v>
      </c>
    </row>
    <row r="421" spans="1:14">
      <c r="A421" s="105">
        <v>432</v>
      </c>
      <c r="B421" s="54" t="str">
        <f ca="1">VLOOKUP( $A421, Aop!$A$2:$P$456, 2, 0)</f>
        <v>BPK</v>
      </c>
      <c r="C421" s="54">
        <f t="shared" ca="1" si="73"/>
        <v>2</v>
      </c>
      <c r="D421" s="54" t="str">
        <f t="shared" ca="1" si="74"/>
        <v>01111329</v>
      </c>
      <c r="E421" s="54" t="str">
        <f t="shared" ca="1" si="75"/>
        <v>4400692320002</v>
      </c>
      <c r="F421" s="54" t="b">
        <f t="shared" ca="1" si="76"/>
        <v>0</v>
      </c>
      <c r="G421" s="226">
        <f t="shared" ca="1" si="61"/>
        <v>44742</v>
      </c>
      <c r="H421" s="54">
        <f ca="1">VLOOKUP( $A421, Aop!$A$2:$P$456, 4, 0)</f>
        <v>0</v>
      </c>
      <c r="I421" s="54">
        <f t="shared" ca="1" si="77"/>
        <v>2022</v>
      </c>
      <c r="J421" s="54"/>
      <c r="K421" s="54"/>
      <c r="L421" s="54"/>
      <c r="M421" s="54" t="str">
        <f t="shared" ca="1" si="78"/>
        <v/>
      </c>
      <c r="N421" s="54" t="str">
        <f t="shared" ca="1" si="79"/>
        <v/>
      </c>
    </row>
    <row r="422" spans="1:14">
      <c r="A422" s="105">
        <v>433</v>
      </c>
      <c r="B422" s="54" t="str">
        <f ca="1">VLOOKUP( $A422, Aop!$A$2:$P$456, 2, 0)</f>
        <v>BPK</v>
      </c>
      <c r="C422" s="54">
        <f t="shared" ca="1" si="73"/>
        <v>2</v>
      </c>
      <c r="D422" s="54" t="str">
        <f t="shared" ca="1" si="74"/>
        <v>01111329</v>
      </c>
      <c r="E422" s="54" t="str">
        <f t="shared" ca="1" si="75"/>
        <v>4400692320002</v>
      </c>
      <c r="F422" s="54" t="b">
        <f t="shared" ca="1" si="76"/>
        <v>0</v>
      </c>
      <c r="G422" s="226">
        <f t="shared" ca="1" si="61"/>
        <v>44742</v>
      </c>
      <c r="H422" s="54">
        <f ca="1">VLOOKUP( $A422, Aop!$A$2:$P$456, 4, 0)</f>
        <v>908</v>
      </c>
      <c r="I422" s="54">
        <f t="shared" ca="1" si="77"/>
        <v>2022</v>
      </c>
      <c r="J422" s="54"/>
      <c r="K422" s="54"/>
      <c r="L422" s="54"/>
      <c r="M422" s="54" t="str">
        <f t="shared" ca="1" si="78"/>
        <v/>
      </c>
      <c r="N422" s="54" t="str">
        <f t="shared" ca="1" si="79"/>
        <v/>
      </c>
    </row>
    <row r="423" spans="1:14">
      <c r="A423" s="105">
        <v>434</v>
      </c>
      <c r="B423" s="54" t="str">
        <f ca="1">VLOOKUP( $A423, Aop!$A$2:$P$456, 2, 0)</f>
        <v>BPK</v>
      </c>
      <c r="C423" s="54">
        <f t="shared" ca="1" si="73"/>
        <v>2</v>
      </c>
      <c r="D423" s="54" t="str">
        <f t="shared" ca="1" si="74"/>
        <v>01111329</v>
      </c>
      <c r="E423" s="54" t="str">
        <f t="shared" ca="1" si="75"/>
        <v>4400692320002</v>
      </c>
      <c r="F423" s="54" t="b">
        <f t="shared" ca="1" si="76"/>
        <v>0</v>
      </c>
      <c r="G423" s="226">
        <f t="shared" ca="1" si="61"/>
        <v>44742</v>
      </c>
      <c r="H423" s="54">
        <f ca="1">VLOOKUP( $A423, Aop!$A$2:$P$456, 4, 0)</f>
        <v>909</v>
      </c>
      <c r="I423" s="54">
        <f t="shared" ca="1" si="77"/>
        <v>2022</v>
      </c>
      <c r="J423" s="54"/>
      <c r="K423" s="54"/>
      <c r="L423" s="54"/>
      <c r="M423" s="54" t="str">
        <f t="shared" ref="M423:M444" ca="1" si="80">IF( VLOOKUP( $H423, INDIRECT( "Lookup_" &amp; $B423), IF( LEFT( $B423, 2) = "BS", S$2, S$1), 0) = "", "", VLOOKUP( $H423, INDIRECT( "Lookup_" &amp; $B423), IF( LEFT( $B423, 2) = "BS", S$2, S$1), 0))</f>
        <v/>
      </c>
      <c r="N423" s="54" t="str">
        <f t="shared" ref="N423:N444" ca="1" si="81">IF( VLOOKUP( $H423, INDIRECT( "Lookup_" &amp; $B423), IF( LEFT( $B423, 2) = "BS", T$2, T$1), 0) = "", "", VLOOKUP( $H423, INDIRECT( "Lookup_" &amp; $B423), IF( LEFT( $B423, 2) = "BS", T$2, T$1), 0))</f>
        <v/>
      </c>
    </row>
    <row r="424" spans="1:14">
      <c r="A424" s="105">
        <v>435</v>
      </c>
      <c r="B424" s="54" t="str">
        <f ca="1">VLOOKUP( $A424, Aop!$A$2:$P$456, 2, 0)</f>
        <v>BPK</v>
      </c>
      <c r="C424" s="54">
        <f t="shared" ca="1" si="73"/>
        <v>2</v>
      </c>
      <c r="D424" s="54" t="str">
        <f t="shared" ca="1" si="74"/>
        <v>01111329</v>
      </c>
      <c r="E424" s="54" t="str">
        <f t="shared" ca="1" si="75"/>
        <v>4400692320002</v>
      </c>
      <c r="F424" s="54" t="b">
        <f t="shared" ca="1" si="76"/>
        <v>0</v>
      </c>
      <c r="G424" s="226">
        <f t="shared" ca="1" si="61"/>
        <v>44742</v>
      </c>
      <c r="H424" s="54">
        <f ca="1">VLOOKUP( $A424, Aop!$A$2:$P$456, 4, 0)</f>
        <v>910</v>
      </c>
      <c r="I424" s="54">
        <f t="shared" ca="1" si="77"/>
        <v>2022</v>
      </c>
      <c r="J424" s="54"/>
      <c r="K424" s="54"/>
      <c r="L424" s="54"/>
      <c r="M424" s="54" t="str">
        <f t="shared" ca="1" si="80"/>
        <v/>
      </c>
      <c r="N424" s="54" t="str">
        <f t="shared" ca="1" si="81"/>
        <v/>
      </c>
    </row>
    <row r="425" spans="1:14">
      <c r="A425" s="105">
        <v>436</v>
      </c>
      <c r="B425" s="54" t="str">
        <f ca="1">VLOOKUP( $A425, Aop!$A$2:$P$456, 2, 0)</f>
        <v>BPK</v>
      </c>
      <c r="C425" s="54">
        <f t="shared" ca="1" si="73"/>
        <v>2</v>
      </c>
      <c r="D425" s="54" t="str">
        <f t="shared" ca="1" si="74"/>
        <v>01111329</v>
      </c>
      <c r="E425" s="54" t="str">
        <f t="shared" ca="1" si="75"/>
        <v>4400692320002</v>
      </c>
      <c r="F425" s="54" t="b">
        <f t="shared" ca="1" si="76"/>
        <v>0</v>
      </c>
      <c r="G425" s="226">
        <f t="shared" ca="1" si="61"/>
        <v>44742</v>
      </c>
      <c r="H425" s="54">
        <f ca="1">VLOOKUP( $A425, Aop!$A$2:$P$456, 4, 0)</f>
        <v>911</v>
      </c>
      <c r="I425" s="54">
        <f t="shared" ca="1" si="77"/>
        <v>2022</v>
      </c>
      <c r="J425" s="54"/>
      <c r="K425" s="54"/>
      <c r="L425" s="54"/>
      <c r="M425" s="54" t="str">
        <f t="shared" ca="1" si="80"/>
        <v/>
      </c>
      <c r="N425" s="54" t="str">
        <f t="shared" ca="1" si="81"/>
        <v/>
      </c>
    </row>
    <row r="426" spans="1:14">
      <c r="A426" s="105">
        <v>437</v>
      </c>
      <c r="B426" s="54" t="str">
        <f ca="1">VLOOKUP( $A426, Aop!$A$2:$P$456, 2, 0)</f>
        <v>BPK</v>
      </c>
      <c r="C426" s="54">
        <f t="shared" ca="1" si="73"/>
        <v>2</v>
      </c>
      <c r="D426" s="54" t="str">
        <f t="shared" ca="1" si="74"/>
        <v>01111329</v>
      </c>
      <c r="E426" s="54" t="str">
        <f t="shared" ca="1" si="75"/>
        <v>4400692320002</v>
      </c>
      <c r="F426" s="54" t="b">
        <f t="shared" ca="1" si="76"/>
        <v>0</v>
      </c>
      <c r="G426" s="226">
        <f t="shared" ca="1" si="61"/>
        <v>44742</v>
      </c>
      <c r="H426" s="54">
        <f ca="1">VLOOKUP( $A426, Aop!$A$2:$P$456, 4, 0)</f>
        <v>912</v>
      </c>
      <c r="I426" s="54">
        <f t="shared" ca="1" si="77"/>
        <v>2022</v>
      </c>
      <c r="J426" s="54"/>
      <c r="K426" s="54"/>
      <c r="L426" s="54"/>
      <c r="M426" s="54" t="str">
        <f t="shared" ca="1" si="80"/>
        <v/>
      </c>
      <c r="N426" s="54" t="str">
        <f t="shared" ca="1" si="81"/>
        <v/>
      </c>
    </row>
    <row r="427" spans="1:14">
      <c r="A427" s="105">
        <v>438</v>
      </c>
      <c r="B427" s="54" t="str">
        <f ca="1">VLOOKUP( $A427, Aop!$A$2:$P$456, 2, 0)</f>
        <v>BPK</v>
      </c>
      <c r="C427" s="54">
        <f t="shared" ca="1" si="73"/>
        <v>2</v>
      </c>
      <c r="D427" s="54" t="str">
        <f t="shared" ca="1" si="74"/>
        <v>01111329</v>
      </c>
      <c r="E427" s="54" t="str">
        <f t="shared" ca="1" si="75"/>
        <v>4400692320002</v>
      </c>
      <c r="F427" s="54" t="b">
        <f t="shared" ca="1" si="76"/>
        <v>0</v>
      </c>
      <c r="G427" s="226">
        <f t="shared" ca="1" si="61"/>
        <v>44742</v>
      </c>
      <c r="H427" s="54">
        <f ca="1">VLOOKUP( $A427, Aop!$A$2:$P$456, 4, 0)</f>
        <v>0</v>
      </c>
      <c r="I427" s="54">
        <f t="shared" ca="1" si="77"/>
        <v>2022</v>
      </c>
      <c r="J427" s="54"/>
      <c r="K427" s="54"/>
      <c r="L427" s="54"/>
      <c r="M427" s="54" t="str">
        <f t="shared" ca="1" si="80"/>
        <v/>
      </c>
      <c r="N427" s="54" t="str">
        <f t="shared" ca="1" si="81"/>
        <v/>
      </c>
    </row>
    <row r="428" spans="1:14">
      <c r="A428" s="105">
        <v>439</v>
      </c>
      <c r="B428" s="54" t="str">
        <f ca="1">VLOOKUP( $A428, Aop!$A$2:$P$456, 2, 0)</f>
        <v>BPK</v>
      </c>
      <c r="C428" s="54">
        <f t="shared" ca="1" si="73"/>
        <v>2</v>
      </c>
      <c r="D428" s="54" t="str">
        <f t="shared" ca="1" si="74"/>
        <v>01111329</v>
      </c>
      <c r="E428" s="54" t="str">
        <f t="shared" ca="1" si="75"/>
        <v>4400692320002</v>
      </c>
      <c r="F428" s="54" t="b">
        <f t="shared" ca="1" si="76"/>
        <v>0</v>
      </c>
      <c r="G428" s="226">
        <f t="shared" ref="G428:G444" ca="1" si="82">Datum_Broj</f>
        <v>44742</v>
      </c>
      <c r="H428" s="54">
        <f ca="1">VLOOKUP( $A428, Aop!$A$2:$P$456, 4, 0)</f>
        <v>913</v>
      </c>
      <c r="I428" s="54">
        <f t="shared" ca="1" si="77"/>
        <v>2022</v>
      </c>
      <c r="J428" s="54"/>
      <c r="K428" s="54"/>
      <c r="L428" s="54"/>
      <c r="M428" s="54">
        <f t="shared" ca="1" si="80"/>
        <v>50777428</v>
      </c>
      <c r="N428" s="54">
        <f t="shared" ca="1" si="81"/>
        <v>0</v>
      </c>
    </row>
    <row r="429" spans="1:14">
      <c r="A429" s="105">
        <v>440</v>
      </c>
      <c r="B429" s="54" t="str">
        <f ca="1">VLOOKUP( $A429, Aop!$A$2:$P$456, 2, 0)</f>
        <v>BPK</v>
      </c>
      <c r="C429" s="54">
        <f t="shared" ca="1" si="73"/>
        <v>2</v>
      </c>
      <c r="D429" s="54" t="str">
        <f t="shared" ca="1" si="74"/>
        <v>01111329</v>
      </c>
      <c r="E429" s="54" t="str">
        <f t="shared" ca="1" si="75"/>
        <v>4400692320002</v>
      </c>
      <c r="F429" s="54" t="b">
        <f t="shared" ca="1" si="76"/>
        <v>0</v>
      </c>
      <c r="G429" s="226">
        <f t="shared" ca="1" si="82"/>
        <v>44742</v>
      </c>
      <c r="H429" s="54">
        <f ca="1">VLOOKUP( $A429, Aop!$A$2:$P$456, 4, 0)</f>
        <v>0</v>
      </c>
      <c r="I429" s="54">
        <f t="shared" ca="1" si="77"/>
        <v>2022</v>
      </c>
      <c r="J429" s="54"/>
      <c r="K429" s="54"/>
      <c r="L429" s="54"/>
      <c r="M429" s="54" t="str">
        <f t="shared" ca="1" si="80"/>
        <v/>
      </c>
      <c r="N429" s="54" t="str">
        <f t="shared" ca="1" si="81"/>
        <v/>
      </c>
    </row>
    <row r="430" spans="1:14">
      <c r="A430" s="105">
        <v>441</v>
      </c>
      <c r="B430" s="54" t="str">
        <f ca="1">VLOOKUP( $A430, Aop!$A$2:$P$456, 2, 0)</f>
        <v>BPK</v>
      </c>
      <c r="C430" s="54">
        <f t="shared" ca="1" si="73"/>
        <v>2</v>
      </c>
      <c r="D430" s="54" t="str">
        <f t="shared" ca="1" si="74"/>
        <v>01111329</v>
      </c>
      <c r="E430" s="54" t="str">
        <f t="shared" ca="1" si="75"/>
        <v>4400692320002</v>
      </c>
      <c r="F430" s="54" t="b">
        <f t="shared" ca="1" si="76"/>
        <v>0</v>
      </c>
      <c r="G430" s="226">
        <f t="shared" ca="1" si="82"/>
        <v>44742</v>
      </c>
      <c r="H430" s="54">
        <f ca="1">VLOOKUP( $A430, Aop!$A$2:$P$456, 4, 0)</f>
        <v>914</v>
      </c>
      <c r="I430" s="54">
        <f t="shared" ca="1" si="77"/>
        <v>2022</v>
      </c>
      <c r="J430" s="54"/>
      <c r="K430" s="54"/>
      <c r="L430" s="54"/>
      <c r="M430" s="54" t="str">
        <f t="shared" ca="1" si="80"/>
        <v/>
      </c>
      <c r="N430" s="54" t="str">
        <f t="shared" ca="1" si="81"/>
        <v/>
      </c>
    </row>
    <row r="431" spans="1:14">
      <c r="A431" s="105">
        <v>442</v>
      </c>
      <c r="B431" s="54" t="str">
        <f ca="1">VLOOKUP( $A431, Aop!$A$2:$P$456, 2, 0)</f>
        <v>BPK</v>
      </c>
      <c r="C431" s="54">
        <f t="shared" ca="1" si="73"/>
        <v>2</v>
      </c>
      <c r="D431" s="54" t="str">
        <f t="shared" ca="1" si="74"/>
        <v>01111329</v>
      </c>
      <c r="E431" s="54" t="str">
        <f t="shared" ca="1" si="75"/>
        <v>4400692320002</v>
      </c>
      <c r="F431" s="54" t="b">
        <f t="shared" ca="1" si="76"/>
        <v>0</v>
      </c>
      <c r="G431" s="226">
        <f t="shared" ca="1" si="82"/>
        <v>44742</v>
      </c>
      <c r="H431" s="54">
        <f ca="1">VLOOKUP( $A431, Aop!$A$2:$P$456, 4, 0)</f>
        <v>915</v>
      </c>
      <c r="I431" s="54">
        <f t="shared" ca="1" si="77"/>
        <v>2022</v>
      </c>
      <c r="J431" s="54"/>
      <c r="K431" s="54"/>
      <c r="L431" s="54"/>
      <c r="M431" s="54" t="str">
        <f t="shared" ca="1" si="80"/>
        <v/>
      </c>
      <c r="N431" s="54" t="str">
        <f t="shared" ca="1" si="81"/>
        <v/>
      </c>
    </row>
    <row r="432" spans="1:14">
      <c r="A432" s="105">
        <v>443</v>
      </c>
      <c r="B432" s="54" t="str">
        <f ca="1">VLOOKUP( $A432, Aop!$A$2:$P$456, 2, 0)</f>
        <v>BPK</v>
      </c>
      <c r="C432" s="54">
        <f t="shared" ca="1" si="73"/>
        <v>2</v>
      </c>
      <c r="D432" s="54" t="str">
        <f t="shared" ca="1" si="74"/>
        <v>01111329</v>
      </c>
      <c r="E432" s="54" t="str">
        <f t="shared" ca="1" si="75"/>
        <v>4400692320002</v>
      </c>
      <c r="F432" s="54" t="b">
        <f t="shared" ca="1" si="76"/>
        <v>0</v>
      </c>
      <c r="G432" s="226">
        <f t="shared" ca="1" si="82"/>
        <v>44742</v>
      </c>
      <c r="H432" s="54">
        <f ca="1">VLOOKUP( $A432, Aop!$A$2:$P$456, 4, 0)</f>
        <v>916</v>
      </c>
      <c r="I432" s="54">
        <f t="shared" ca="1" si="77"/>
        <v>2022</v>
      </c>
      <c r="J432" s="54"/>
      <c r="K432" s="54"/>
      <c r="L432" s="54"/>
      <c r="M432" s="54">
        <f t="shared" ca="1" si="80"/>
        <v>50777428</v>
      </c>
      <c r="N432" s="54">
        <f t="shared" ca="1" si="81"/>
        <v>0</v>
      </c>
    </row>
    <row r="433" spans="1:14">
      <c r="A433" s="105">
        <v>444</v>
      </c>
      <c r="B433" s="54" t="str">
        <f ca="1">VLOOKUP( $A433, Aop!$A$2:$P$456, 2, 0)</f>
        <v>BPK</v>
      </c>
      <c r="C433" s="54">
        <f t="shared" ca="1" si="73"/>
        <v>2</v>
      </c>
      <c r="D433" s="54" t="str">
        <f t="shared" ca="1" si="74"/>
        <v>01111329</v>
      </c>
      <c r="E433" s="54" t="str">
        <f t="shared" ca="1" si="75"/>
        <v>4400692320002</v>
      </c>
      <c r="F433" s="54" t="b">
        <f t="shared" ca="1" si="76"/>
        <v>0</v>
      </c>
      <c r="G433" s="226">
        <f t="shared" ca="1" si="82"/>
        <v>44742</v>
      </c>
      <c r="H433" s="54">
        <f ca="1">VLOOKUP( $A433, Aop!$A$2:$P$456, 4, 0)</f>
        <v>0</v>
      </c>
      <c r="I433" s="54">
        <f t="shared" ca="1" si="77"/>
        <v>2022</v>
      </c>
      <c r="J433" s="54"/>
      <c r="K433" s="54"/>
      <c r="L433" s="54"/>
      <c r="M433" s="54" t="str">
        <f t="shared" ca="1" si="80"/>
        <v/>
      </c>
      <c r="N433" s="54" t="str">
        <f t="shared" ca="1" si="81"/>
        <v/>
      </c>
    </row>
    <row r="434" spans="1:14">
      <c r="A434" s="105">
        <v>445</v>
      </c>
      <c r="B434" s="54" t="str">
        <f ca="1">VLOOKUP( $A434, Aop!$A$2:$P$456, 2, 0)</f>
        <v>BPK</v>
      </c>
      <c r="C434" s="54">
        <f t="shared" ca="1" si="73"/>
        <v>2</v>
      </c>
      <c r="D434" s="54" t="str">
        <f t="shared" ca="1" si="74"/>
        <v>01111329</v>
      </c>
      <c r="E434" s="54" t="str">
        <f t="shared" ca="1" si="75"/>
        <v>4400692320002</v>
      </c>
      <c r="F434" s="54" t="b">
        <f t="shared" ca="1" si="76"/>
        <v>0</v>
      </c>
      <c r="G434" s="226">
        <f t="shared" ca="1" si="82"/>
        <v>44742</v>
      </c>
      <c r="H434" s="54">
        <f ca="1">VLOOKUP( $A434, Aop!$A$2:$P$456, 4, 0)</f>
        <v>917</v>
      </c>
      <c r="I434" s="54">
        <f t="shared" ca="1" si="77"/>
        <v>2022</v>
      </c>
      <c r="J434" s="54"/>
      <c r="K434" s="54"/>
      <c r="L434" s="54"/>
      <c r="M434" s="54" t="str">
        <f t="shared" ca="1" si="80"/>
        <v/>
      </c>
      <c r="N434" s="54" t="str">
        <f t="shared" ca="1" si="81"/>
        <v/>
      </c>
    </row>
    <row r="435" spans="1:14">
      <c r="A435" s="105">
        <v>446</v>
      </c>
      <c r="B435" s="54" t="str">
        <f ca="1">VLOOKUP( $A435, Aop!$A$2:$P$456, 2, 0)</f>
        <v>BPK</v>
      </c>
      <c r="C435" s="54">
        <f t="shared" ca="1" si="73"/>
        <v>2</v>
      </c>
      <c r="D435" s="54" t="str">
        <f t="shared" ca="1" si="74"/>
        <v>01111329</v>
      </c>
      <c r="E435" s="54" t="str">
        <f t="shared" ca="1" si="75"/>
        <v>4400692320002</v>
      </c>
      <c r="F435" s="54" t="b">
        <f t="shared" ca="1" si="76"/>
        <v>0</v>
      </c>
      <c r="G435" s="226">
        <f t="shared" ca="1" si="82"/>
        <v>44742</v>
      </c>
      <c r="H435" s="54">
        <f ca="1">VLOOKUP( $A435, Aop!$A$2:$P$456, 4, 0)</f>
        <v>918</v>
      </c>
      <c r="I435" s="54">
        <f t="shared" ca="1" si="77"/>
        <v>2022</v>
      </c>
      <c r="J435" s="54"/>
      <c r="K435" s="54"/>
      <c r="L435" s="54"/>
      <c r="M435" s="54" t="str">
        <f t="shared" ca="1" si="80"/>
        <v/>
      </c>
      <c r="N435" s="54" t="str">
        <f t="shared" ca="1" si="81"/>
        <v/>
      </c>
    </row>
    <row r="436" spans="1:14">
      <c r="A436" s="105">
        <v>447</v>
      </c>
      <c r="B436" s="54" t="str">
        <f ca="1">VLOOKUP( $A436, Aop!$A$2:$P$456, 2, 0)</f>
        <v>BPK</v>
      </c>
      <c r="C436" s="54">
        <f t="shared" ca="1" si="73"/>
        <v>2</v>
      </c>
      <c r="D436" s="54" t="str">
        <f t="shared" ca="1" si="74"/>
        <v>01111329</v>
      </c>
      <c r="E436" s="54" t="str">
        <f t="shared" ca="1" si="75"/>
        <v>4400692320002</v>
      </c>
      <c r="F436" s="54" t="b">
        <f t="shared" ca="1" si="76"/>
        <v>0</v>
      </c>
      <c r="G436" s="226">
        <f t="shared" ca="1" si="82"/>
        <v>44742</v>
      </c>
      <c r="H436" s="54">
        <f ca="1">VLOOKUP( $A436, Aop!$A$2:$P$456, 4, 0)</f>
        <v>919</v>
      </c>
      <c r="I436" s="54">
        <f t="shared" ca="1" si="77"/>
        <v>2022</v>
      </c>
      <c r="J436" s="54"/>
      <c r="K436" s="54"/>
      <c r="L436" s="54"/>
      <c r="M436" s="54">
        <f t="shared" ca="1" si="80"/>
        <v>0</v>
      </c>
      <c r="N436" s="54">
        <f t="shared" ca="1" si="81"/>
        <v>0</v>
      </c>
    </row>
    <row r="437" spans="1:14">
      <c r="A437" s="105">
        <v>448</v>
      </c>
      <c r="B437" s="54" t="str">
        <f ca="1">VLOOKUP( $A437, Aop!$A$2:$P$456, 2, 0)</f>
        <v>BPK</v>
      </c>
      <c r="C437" s="54">
        <f t="shared" ca="1" si="73"/>
        <v>2</v>
      </c>
      <c r="D437" s="54" t="str">
        <f t="shared" ca="1" si="74"/>
        <v>01111329</v>
      </c>
      <c r="E437" s="54" t="str">
        <f t="shared" ca="1" si="75"/>
        <v>4400692320002</v>
      </c>
      <c r="F437" s="54" t="b">
        <f t="shared" ca="1" si="76"/>
        <v>0</v>
      </c>
      <c r="G437" s="226">
        <f t="shared" ca="1" si="82"/>
        <v>44742</v>
      </c>
      <c r="H437" s="54">
        <f ca="1">VLOOKUP( $A437, Aop!$A$2:$P$456, 4, 0)</f>
        <v>0</v>
      </c>
      <c r="I437" s="54">
        <f t="shared" ca="1" si="77"/>
        <v>2022</v>
      </c>
      <c r="J437" s="54"/>
      <c r="K437" s="54"/>
      <c r="L437" s="54"/>
      <c r="M437" s="54" t="str">
        <f t="shared" ca="1" si="80"/>
        <v/>
      </c>
      <c r="N437" s="54" t="str">
        <f t="shared" ca="1" si="81"/>
        <v/>
      </c>
    </row>
    <row r="438" spans="1:14">
      <c r="A438" s="105">
        <v>449</v>
      </c>
      <c r="B438" s="54" t="str">
        <f ca="1">VLOOKUP( $A438, Aop!$A$2:$P$456, 2, 0)</f>
        <v>BPK</v>
      </c>
      <c r="C438" s="54">
        <f t="shared" ca="1" si="73"/>
        <v>2</v>
      </c>
      <c r="D438" s="54" t="str">
        <f t="shared" ca="1" si="74"/>
        <v>01111329</v>
      </c>
      <c r="E438" s="54" t="str">
        <f t="shared" ca="1" si="75"/>
        <v>4400692320002</v>
      </c>
      <c r="F438" s="54" t="b">
        <f t="shared" ca="1" si="76"/>
        <v>0</v>
      </c>
      <c r="G438" s="226">
        <f t="shared" ca="1" si="82"/>
        <v>44742</v>
      </c>
      <c r="H438" s="54">
        <f ca="1">VLOOKUP( $A438, Aop!$A$2:$P$456, 4, 0)</f>
        <v>920</v>
      </c>
      <c r="I438" s="54">
        <f t="shared" ca="1" si="77"/>
        <v>2022</v>
      </c>
      <c r="J438" s="54"/>
      <c r="K438" s="54"/>
      <c r="L438" s="54"/>
      <c r="M438" s="54" t="str">
        <f t="shared" ca="1" si="80"/>
        <v/>
      </c>
      <c r="N438" s="54" t="str">
        <f t="shared" ca="1" si="81"/>
        <v/>
      </c>
    </row>
    <row r="439" spans="1:14">
      <c r="A439" s="105">
        <v>450</v>
      </c>
      <c r="B439" s="54" t="str">
        <f ca="1">VLOOKUP( $A439, Aop!$A$2:$P$456, 2, 0)</f>
        <v>BPK</v>
      </c>
      <c r="C439" s="54">
        <f t="shared" ca="1" si="73"/>
        <v>2</v>
      </c>
      <c r="D439" s="54" t="str">
        <f t="shared" ca="1" si="74"/>
        <v>01111329</v>
      </c>
      <c r="E439" s="54" t="str">
        <f t="shared" ca="1" si="75"/>
        <v>4400692320002</v>
      </c>
      <c r="F439" s="54" t="b">
        <f t="shared" ca="1" si="76"/>
        <v>0</v>
      </c>
      <c r="G439" s="226">
        <f t="shared" ca="1" si="82"/>
        <v>44742</v>
      </c>
      <c r="H439" s="54">
        <f ca="1">VLOOKUP( $A439, Aop!$A$2:$P$456, 4, 0)</f>
        <v>921</v>
      </c>
      <c r="I439" s="54">
        <f t="shared" ca="1" si="77"/>
        <v>2022</v>
      </c>
      <c r="J439" s="54"/>
      <c r="K439" s="54"/>
      <c r="L439" s="54"/>
      <c r="M439" s="54" t="str">
        <f t="shared" ca="1" si="80"/>
        <v/>
      </c>
      <c r="N439" s="54" t="str">
        <f t="shared" ca="1" si="81"/>
        <v/>
      </c>
    </row>
    <row r="440" spans="1:14">
      <c r="A440" s="105">
        <v>451</v>
      </c>
      <c r="B440" s="54" t="str">
        <f ca="1">VLOOKUP( $A440, Aop!$A$2:$P$456, 2, 0)</f>
        <v>BPK</v>
      </c>
      <c r="C440" s="54">
        <f t="shared" ca="1" si="73"/>
        <v>2</v>
      </c>
      <c r="D440" s="54" t="str">
        <f t="shared" ca="1" si="74"/>
        <v>01111329</v>
      </c>
      <c r="E440" s="54" t="str">
        <f t="shared" ca="1" si="75"/>
        <v>4400692320002</v>
      </c>
      <c r="F440" s="54" t="b">
        <f t="shared" ca="1" si="76"/>
        <v>0</v>
      </c>
      <c r="G440" s="226">
        <f t="shared" ca="1" si="82"/>
        <v>44742</v>
      </c>
      <c r="H440" s="54">
        <f ca="1">VLOOKUP( $A440, Aop!$A$2:$P$456, 4, 0)</f>
        <v>922</v>
      </c>
      <c r="I440" s="54">
        <f t="shared" ca="1" si="77"/>
        <v>2022</v>
      </c>
      <c r="J440" s="54"/>
      <c r="K440" s="54"/>
      <c r="L440" s="54"/>
      <c r="M440" s="54" t="str">
        <f t="shared" ca="1" si="80"/>
        <v/>
      </c>
      <c r="N440" s="54" t="str">
        <f t="shared" ca="1" si="81"/>
        <v/>
      </c>
    </row>
    <row r="441" spans="1:14">
      <c r="A441" s="105">
        <v>452</v>
      </c>
      <c r="B441" s="54" t="str">
        <f ca="1">VLOOKUP( $A441, Aop!$A$2:$P$456, 2, 0)</f>
        <v>BPK</v>
      </c>
      <c r="C441" s="54">
        <f t="shared" ca="1" si="73"/>
        <v>2</v>
      </c>
      <c r="D441" s="54" t="str">
        <f t="shared" ca="1" si="74"/>
        <v>01111329</v>
      </c>
      <c r="E441" s="54" t="str">
        <f t="shared" ca="1" si="75"/>
        <v>4400692320002</v>
      </c>
      <c r="F441" s="54" t="b">
        <f t="shared" ca="1" si="76"/>
        <v>0</v>
      </c>
      <c r="G441" s="226">
        <f t="shared" ca="1" si="82"/>
        <v>44742</v>
      </c>
      <c r="H441" s="54">
        <f ca="1">VLOOKUP( $A441, Aop!$A$2:$P$456, 4, 0)</f>
        <v>923</v>
      </c>
      <c r="I441" s="54">
        <f t="shared" ca="1" si="77"/>
        <v>2022</v>
      </c>
      <c r="J441" s="54"/>
      <c r="K441" s="54"/>
      <c r="L441" s="54"/>
      <c r="M441" s="54" t="str">
        <f t="shared" ca="1" si="80"/>
        <v/>
      </c>
      <c r="N441" s="54" t="str">
        <f t="shared" ca="1" si="81"/>
        <v/>
      </c>
    </row>
    <row r="442" spans="1:14">
      <c r="A442" s="105">
        <v>453</v>
      </c>
      <c r="B442" s="54" t="str">
        <f ca="1">VLOOKUP( $A442, Aop!$A$2:$P$456, 2, 0)</f>
        <v>BPK</v>
      </c>
      <c r="C442" s="54">
        <f t="shared" ca="1" si="73"/>
        <v>2</v>
      </c>
      <c r="D442" s="54" t="str">
        <f t="shared" ca="1" si="74"/>
        <v>01111329</v>
      </c>
      <c r="E442" s="54" t="str">
        <f t="shared" ca="1" si="75"/>
        <v>4400692320002</v>
      </c>
      <c r="F442" s="54" t="b">
        <f t="shared" ca="1" si="76"/>
        <v>0</v>
      </c>
      <c r="G442" s="226">
        <f t="shared" ca="1" si="82"/>
        <v>44742</v>
      </c>
      <c r="H442" s="54">
        <f ca="1">VLOOKUP( $A442, Aop!$A$2:$P$456, 4, 0)</f>
        <v>924</v>
      </c>
      <c r="I442" s="54">
        <f t="shared" ca="1" si="77"/>
        <v>2022</v>
      </c>
      <c r="J442" s="54"/>
      <c r="K442" s="54"/>
      <c r="L442" s="54"/>
      <c r="M442" s="54" t="str">
        <f t="shared" ca="1" si="80"/>
        <v/>
      </c>
      <c r="N442" s="54" t="str">
        <f t="shared" ca="1" si="81"/>
        <v/>
      </c>
    </row>
    <row r="443" spans="1:14">
      <c r="A443" s="105">
        <v>454</v>
      </c>
      <c r="B443" s="54" t="str">
        <f ca="1">VLOOKUP( $A443, Aop!$A$2:$P$456, 2, 0)</f>
        <v>BPK</v>
      </c>
      <c r="C443" s="54">
        <f t="shared" ca="1" si="73"/>
        <v>2</v>
      </c>
      <c r="D443" s="54" t="str">
        <f t="shared" ca="1" si="74"/>
        <v>01111329</v>
      </c>
      <c r="E443" s="54" t="str">
        <f t="shared" ca="1" si="75"/>
        <v>4400692320002</v>
      </c>
      <c r="F443" s="54" t="b">
        <f t="shared" ca="1" si="76"/>
        <v>0</v>
      </c>
      <c r="G443" s="226">
        <f t="shared" ca="1" si="82"/>
        <v>44742</v>
      </c>
      <c r="H443" s="54">
        <f ca="1">VLOOKUP( $A443, Aop!$A$2:$P$456, 4, 0)</f>
        <v>0</v>
      </c>
      <c r="I443" s="54">
        <f t="shared" ca="1" si="77"/>
        <v>2022</v>
      </c>
      <c r="J443" s="54"/>
      <c r="K443" s="54"/>
      <c r="L443" s="54"/>
      <c r="M443" s="54" t="str">
        <f t="shared" ca="1" si="80"/>
        <v/>
      </c>
      <c r="N443" s="54" t="str">
        <f t="shared" ca="1" si="81"/>
        <v/>
      </c>
    </row>
    <row r="444" spans="1:14">
      <c r="A444" s="105">
        <v>455</v>
      </c>
      <c r="B444" s="54" t="str">
        <f ca="1">VLOOKUP( $A444, Aop!$A$2:$P$456, 2, 0)</f>
        <v>BPK</v>
      </c>
      <c r="C444" s="54">
        <f t="shared" ca="1" si="73"/>
        <v>2</v>
      </c>
      <c r="D444" s="54" t="str">
        <f t="shared" ca="1" si="74"/>
        <v>01111329</v>
      </c>
      <c r="E444" s="54" t="str">
        <f t="shared" ca="1" si="75"/>
        <v>4400692320002</v>
      </c>
      <c r="F444" s="54" t="b">
        <f t="shared" ca="1" si="76"/>
        <v>0</v>
      </c>
      <c r="G444" s="226">
        <f t="shared" ca="1" si="82"/>
        <v>44742</v>
      </c>
      <c r="H444" s="54">
        <f ca="1">VLOOKUP( $A444, Aop!$A$2:$P$456, 4, 0)</f>
        <v>925</v>
      </c>
      <c r="I444" s="54">
        <f t="shared" ca="1" si="77"/>
        <v>2022</v>
      </c>
      <c r="J444" s="54"/>
      <c r="K444" s="54"/>
      <c r="L444" s="54"/>
      <c r="M444" s="54">
        <f t="shared" ca="1" si="80"/>
        <v>50777428</v>
      </c>
      <c r="N444" s="54">
        <f t="shared" ca="1" si="81"/>
        <v>0</v>
      </c>
    </row>
  </sheetData>
  <sheetProtection sheet="1" objects="1" scenarios="1"/>
  <phoneticPr fontId="25" type="noConversion"/>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sheetPr codeName="Sheet21"/>
  <dimension ref="A1:S35"/>
  <sheetViews>
    <sheetView showGridLines="0" showRowColHeaders="0" topLeftCell="F1" workbookViewId="0">
      <selection activeCell="F2" sqref="F2"/>
    </sheetView>
  </sheetViews>
  <sheetFormatPr defaultRowHeight="12.75"/>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c r="A1" s="108" t="s">
        <v>1527</v>
      </c>
      <c r="B1" s="109" t="s">
        <v>2371</v>
      </c>
      <c r="C1" s="110" t="s">
        <v>1529</v>
      </c>
      <c r="D1" s="110" t="s">
        <v>1459</v>
      </c>
      <c r="E1" s="105" t="s">
        <v>1693</v>
      </c>
      <c r="F1" s="58" t="s">
        <v>1478</v>
      </c>
      <c r="G1" s="111" t="s">
        <v>2299</v>
      </c>
      <c r="H1" s="111" t="s">
        <v>2454</v>
      </c>
      <c r="I1" s="111" t="s">
        <v>2425</v>
      </c>
      <c r="J1" s="111" t="s">
        <v>2426</v>
      </c>
      <c r="K1" s="111" t="s">
        <v>2455</v>
      </c>
      <c r="L1" s="111" t="s">
        <v>2456</v>
      </c>
      <c r="M1" s="111" t="s">
        <v>2457</v>
      </c>
      <c r="N1" s="111" t="s">
        <v>2458</v>
      </c>
      <c r="O1" s="111" t="s">
        <v>2459</v>
      </c>
      <c r="P1" s="111" t="s">
        <v>2460</v>
      </c>
      <c r="Q1" s="111" t="s">
        <v>2461</v>
      </c>
      <c r="R1" s="111" t="s">
        <v>2905</v>
      </c>
      <c r="S1" s="111" t="s">
        <v>2906</v>
      </c>
    </row>
    <row r="2" spans="1:19" ht="13.5" thickTop="1">
      <c r="A2" s="106">
        <v>422</v>
      </c>
      <c r="B2" s="107" t="str">
        <f ca="1">VLOOKUP( $A2, Aop!$A$2:$P$456, 2, 0)</f>
        <v>BPK</v>
      </c>
      <c r="C2" s="57" t="str">
        <f t="shared" ref="C2:C20" ca="1" si="0">Podatak_MB</f>
        <v>01111329</v>
      </c>
      <c r="D2" s="57" t="str">
        <f t="shared" ref="D2:D20" ca="1" si="1">Podatak_JIB</f>
        <v>4400692320002</v>
      </c>
      <c r="E2" s="57" t="b">
        <f t="shared" ref="E2:E20" ca="1" si="2">Konsolidovan_izvjestaj</f>
        <v>0</v>
      </c>
      <c r="F2" s="11">
        <f ca="1">VLOOKUP( $A2, Aop!$A$2:$P$456, 4, 0)</f>
        <v>0</v>
      </c>
      <c r="G2" s="57">
        <f t="shared" ref="G2:G20" ca="1" si="3">Godina</f>
        <v>2022</v>
      </c>
      <c r="H2" s="140">
        <f t="shared" ref="H2:H20" ca="1" si="4">Datum_Broj</f>
        <v>44742</v>
      </c>
      <c r="I2" s="57">
        <f t="shared" ref="I2:I20" ca="1" si="5">ID_Izvjestaj</f>
        <v>2</v>
      </c>
      <c r="J2" s="54" t="s">
        <v>2912</v>
      </c>
      <c r="K2" s="54" t="s">
        <v>2912</v>
      </c>
      <c r="L2" s="54" t="s">
        <v>2912</v>
      </c>
      <c r="M2" s="54" t="s">
        <v>2912</v>
      </c>
      <c r="N2" s="54" t="s">
        <v>2912</v>
      </c>
      <c r="O2" s="54" t="s">
        <v>2912</v>
      </c>
      <c r="P2" s="54" t="s">
        <v>2912</v>
      </c>
      <c r="Q2" s="54" t="s">
        <v>2912</v>
      </c>
      <c r="R2" s="54" t="s">
        <v>2912</v>
      </c>
      <c r="S2" s="54" t="s">
        <v>2912</v>
      </c>
    </row>
    <row r="3" spans="1:19">
      <c r="A3" s="106">
        <v>423</v>
      </c>
      <c r="B3" s="107" t="str">
        <f ca="1">VLOOKUP( $A3, Aop!$A$2:$P$456, 2, 0)</f>
        <v>BPK</v>
      </c>
      <c r="C3" s="57" t="str">
        <f t="shared" ca="1" si="0"/>
        <v>01111329</v>
      </c>
      <c r="D3" s="57" t="str">
        <f t="shared" ca="1" si="1"/>
        <v>4400692320002</v>
      </c>
      <c r="E3" s="57" t="b">
        <f t="shared" ca="1" si="2"/>
        <v>0</v>
      </c>
      <c r="F3" s="11">
        <f ca="1">VLOOKUP( $A3, Aop!$A$2:$P$456, 4, 0)</f>
        <v>901</v>
      </c>
      <c r="G3" s="57">
        <f t="shared" ca="1" si="3"/>
        <v>2022</v>
      </c>
      <c r="H3" s="140">
        <f t="shared" ca="1" si="4"/>
        <v>44742</v>
      </c>
      <c r="I3" s="57">
        <f t="shared" ca="1" si="5"/>
        <v>2</v>
      </c>
      <c r="J3" s="54">
        <f t="shared" ref="J3:S19" ca="1" si="6">IF(VLOOKUP($F3,INDIRECT("Lookup_"&amp;$B3),J$1-1,0)="","",VLOOKUP($F3,INDIRECT("Lookup_"&amp;$B3),J$1-1,0))</f>
        <v>50777428</v>
      </c>
      <c r="K3" s="54" t="str">
        <f t="shared" ca="1" si="6"/>
        <v/>
      </c>
      <c r="L3" s="54">
        <f t="shared" ca="1" si="6"/>
        <v>20971</v>
      </c>
      <c r="M3" s="54" t="str">
        <f t="shared" ca="1" si="6"/>
        <v/>
      </c>
      <c r="N3" s="54" t="str">
        <f t="shared" ca="1" si="6"/>
        <v/>
      </c>
      <c r="O3" s="54">
        <f t="shared" ca="1" si="6"/>
        <v>15495786</v>
      </c>
      <c r="P3" s="54">
        <f t="shared" ca="1" si="6"/>
        <v>19107814</v>
      </c>
      <c r="Q3" s="54">
        <f t="shared" ca="1" si="6"/>
        <v>85401999</v>
      </c>
      <c r="R3" s="54" t="str">
        <f t="shared" ca="1" si="6"/>
        <v/>
      </c>
      <c r="S3" s="54">
        <f t="shared" ca="1" si="6"/>
        <v>85401999</v>
      </c>
    </row>
    <row r="4" spans="1:19">
      <c r="A4" s="106">
        <v>424</v>
      </c>
      <c r="B4" s="107" t="str">
        <f ca="1">VLOOKUP( $A4, Aop!$A$2:$P$456, 2, 0)</f>
        <v>BPK</v>
      </c>
      <c r="C4" s="57" t="str">
        <f t="shared" ca="1" si="0"/>
        <v>01111329</v>
      </c>
      <c r="D4" s="57" t="str">
        <f t="shared" ca="1" si="1"/>
        <v>4400692320002</v>
      </c>
      <c r="E4" s="57" t="b">
        <f t="shared" ca="1" si="2"/>
        <v>0</v>
      </c>
      <c r="F4" s="11">
        <f ca="1">VLOOKUP( $A4, Aop!$A$2:$P$456, 4, 0)</f>
        <v>0</v>
      </c>
      <c r="G4" s="57">
        <f t="shared" ca="1" si="3"/>
        <v>2022</v>
      </c>
      <c r="H4" s="140">
        <f t="shared" ca="1" si="4"/>
        <v>44742</v>
      </c>
      <c r="I4" s="57">
        <f t="shared" ca="1" si="5"/>
        <v>2</v>
      </c>
      <c r="J4" s="54" t="s">
        <v>2912</v>
      </c>
      <c r="K4" s="54" t="s">
        <v>2912</v>
      </c>
      <c r="L4" s="54" t="s">
        <v>2912</v>
      </c>
      <c r="M4" s="54" t="s">
        <v>2912</v>
      </c>
      <c r="N4" s="54" t="s">
        <v>2912</v>
      </c>
      <c r="O4" s="54" t="s">
        <v>2912</v>
      </c>
      <c r="P4" s="54" t="s">
        <v>2912</v>
      </c>
      <c r="Q4" s="54" t="s">
        <v>2912</v>
      </c>
      <c r="R4" s="54" t="s">
        <v>2912</v>
      </c>
      <c r="S4" s="54" t="s">
        <v>2912</v>
      </c>
    </row>
    <row r="5" spans="1:19">
      <c r="A5" s="106">
        <v>425</v>
      </c>
      <c r="B5" s="107" t="str">
        <f ca="1">VLOOKUP( $A5, Aop!$A$2:$P$456, 2, 0)</f>
        <v>BPK</v>
      </c>
      <c r="C5" s="57" t="str">
        <f t="shared" ca="1" si="0"/>
        <v>01111329</v>
      </c>
      <c r="D5" s="57" t="str">
        <f t="shared" ca="1" si="1"/>
        <v>4400692320002</v>
      </c>
      <c r="E5" s="57" t="b">
        <f t="shared" ca="1" si="2"/>
        <v>0</v>
      </c>
      <c r="F5" s="11">
        <f ca="1">VLOOKUP( $A5, Aop!$A$2:$P$456, 4, 0)</f>
        <v>902</v>
      </c>
      <c r="G5" s="57">
        <f t="shared" ca="1" si="3"/>
        <v>2022</v>
      </c>
      <c r="H5" s="140">
        <f t="shared" ca="1" si="4"/>
        <v>44742</v>
      </c>
      <c r="I5" s="57">
        <f t="shared" ca="1" si="5"/>
        <v>2</v>
      </c>
      <c r="J5" s="54" t="str">
        <f t="shared" ca="1" si="6"/>
        <v/>
      </c>
      <c r="K5" s="54" t="str">
        <f t="shared" ca="1" si="6"/>
        <v/>
      </c>
      <c r="L5" s="54" t="str">
        <f t="shared" ca="1" si="6"/>
        <v/>
      </c>
      <c r="M5" s="54" t="str">
        <f t="shared" ca="1" si="6"/>
        <v/>
      </c>
      <c r="N5" s="54" t="str">
        <f t="shared" ca="1" si="6"/>
        <v/>
      </c>
      <c r="O5" s="54" t="str">
        <f t="shared" ca="1" si="6"/>
        <v/>
      </c>
      <c r="P5" s="54" t="str">
        <f t="shared" ca="1" si="6"/>
        <v/>
      </c>
      <c r="Q5" s="54">
        <f t="shared" ca="1" si="6"/>
        <v>0</v>
      </c>
      <c r="R5" s="54" t="str">
        <f t="shared" ca="1" si="6"/>
        <v/>
      </c>
      <c r="S5" s="54">
        <f t="shared" ca="1" si="6"/>
        <v>0</v>
      </c>
    </row>
    <row r="6" spans="1:19">
      <c r="A6" s="106">
        <v>426</v>
      </c>
      <c r="B6" s="107" t="str">
        <f ca="1">VLOOKUP( $A6, Aop!$A$2:$P$456, 2, 0)</f>
        <v>BPK</v>
      </c>
      <c r="C6" s="57" t="str">
        <f t="shared" ca="1" si="0"/>
        <v>01111329</v>
      </c>
      <c r="D6" s="57" t="str">
        <f t="shared" ca="1" si="1"/>
        <v>4400692320002</v>
      </c>
      <c r="E6" s="57" t="b">
        <f t="shared" ca="1" si="2"/>
        <v>0</v>
      </c>
      <c r="F6" s="11">
        <f ca="1">VLOOKUP( $A6, Aop!$A$2:$P$456, 4, 0)</f>
        <v>903</v>
      </c>
      <c r="G6" s="57">
        <f t="shared" ca="1" si="3"/>
        <v>2022</v>
      </c>
      <c r="H6" s="140">
        <f t="shared" ca="1" si="4"/>
        <v>44742</v>
      </c>
      <c r="I6" s="57">
        <f t="shared" ca="1" si="5"/>
        <v>2</v>
      </c>
      <c r="J6" s="54" t="str">
        <f t="shared" ca="1" si="6"/>
        <v/>
      </c>
      <c r="K6" s="54" t="str">
        <f t="shared" ca="1" si="6"/>
        <v/>
      </c>
      <c r="L6" s="54" t="str">
        <f t="shared" ca="1" si="6"/>
        <v/>
      </c>
      <c r="M6" s="54" t="str">
        <f t="shared" ca="1" si="6"/>
        <v/>
      </c>
      <c r="N6" s="54" t="str">
        <f t="shared" ca="1" si="6"/>
        <v/>
      </c>
      <c r="O6" s="54" t="str">
        <f t="shared" ca="1" si="6"/>
        <v/>
      </c>
      <c r="P6" s="54" t="str">
        <f t="shared" ca="1" si="6"/>
        <v/>
      </c>
      <c r="Q6" s="54">
        <f t="shared" ca="1" si="6"/>
        <v>0</v>
      </c>
      <c r="R6" s="54" t="str">
        <f t="shared" ca="1" si="6"/>
        <v/>
      </c>
      <c r="S6" s="54">
        <f t="shared" ca="1" si="6"/>
        <v>0</v>
      </c>
    </row>
    <row r="7" spans="1:19">
      <c r="A7" s="106">
        <v>427</v>
      </c>
      <c r="B7" s="107" t="str">
        <f ca="1">VLOOKUP( $A7, Aop!$A$2:$P$456, 2, 0)</f>
        <v>BPK</v>
      </c>
      <c r="C7" s="57" t="str">
        <f t="shared" ca="1" si="0"/>
        <v>01111329</v>
      </c>
      <c r="D7" s="57" t="str">
        <f t="shared" ca="1" si="1"/>
        <v>4400692320002</v>
      </c>
      <c r="E7" s="57" t="b">
        <f t="shared" ca="1" si="2"/>
        <v>0</v>
      </c>
      <c r="F7" s="11">
        <f ca="1">VLOOKUP( $A7, Aop!$A$2:$P$456, 4, 0)</f>
        <v>904</v>
      </c>
      <c r="G7" s="57">
        <f t="shared" ca="1" si="3"/>
        <v>2022</v>
      </c>
      <c r="H7" s="140">
        <f t="shared" ca="1" si="4"/>
        <v>44742</v>
      </c>
      <c r="I7" s="57">
        <f t="shared" ca="1" si="5"/>
        <v>2</v>
      </c>
      <c r="J7" s="54">
        <f t="shared" ca="1" si="6"/>
        <v>50777428</v>
      </c>
      <c r="K7" s="54">
        <f t="shared" ca="1" si="6"/>
        <v>0</v>
      </c>
      <c r="L7" s="54">
        <f t="shared" ca="1" si="6"/>
        <v>20971</v>
      </c>
      <c r="M7" s="54">
        <f t="shared" ca="1" si="6"/>
        <v>0</v>
      </c>
      <c r="N7" s="54">
        <f t="shared" ca="1" si="6"/>
        <v>0</v>
      </c>
      <c r="O7" s="54">
        <f t="shared" ca="1" si="6"/>
        <v>15495786</v>
      </c>
      <c r="P7" s="54">
        <f t="shared" ca="1" si="6"/>
        <v>19107814</v>
      </c>
      <c r="Q7" s="54">
        <f t="shared" ca="1" si="6"/>
        <v>85401999</v>
      </c>
      <c r="R7" s="54">
        <f t="shared" ca="1" si="6"/>
        <v>0</v>
      </c>
      <c r="S7" s="54">
        <f t="shared" ca="1" si="6"/>
        <v>85401999</v>
      </c>
    </row>
    <row r="8" spans="1:19">
      <c r="A8" s="106">
        <v>428</v>
      </c>
      <c r="B8" s="107" t="str">
        <f ca="1">VLOOKUP( $A8, Aop!$A$2:$P$456, 2, 0)</f>
        <v>BPK</v>
      </c>
      <c r="C8" s="57" t="str">
        <f t="shared" ca="1" si="0"/>
        <v>01111329</v>
      </c>
      <c r="D8" s="57" t="str">
        <f t="shared" ca="1" si="1"/>
        <v>4400692320002</v>
      </c>
      <c r="E8" s="57" t="b">
        <f t="shared" ca="1" si="2"/>
        <v>0</v>
      </c>
      <c r="F8" s="11">
        <f ca="1">VLOOKUP( $A8, Aop!$A$2:$P$456, 4, 0)</f>
        <v>0</v>
      </c>
      <c r="G8" s="57">
        <f t="shared" ca="1" si="3"/>
        <v>2022</v>
      </c>
      <c r="H8" s="140">
        <f t="shared" ca="1" si="4"/>
        <v>44742</v>
      </c>
      <c r="I8" s="57">
        <f t="shared" ca="1" si="5"/>
        <v>2</v>
      </c>
      <c r="J8" s="54" t="s">
        <v>2912</v>
      </c>
      <c r="K8" s="54" t="s">
        <v>2912</v>
      </c>
      <c r="L8" s="54" t="s">
        <v>2912</v>
      </c>
      <c r="M8" s="54" t="s">
        <v>2912</v>
      </c>
      <c r="N8" s="54" t="s">
        <v>2912</v>
      </c>
      <c r="O8" s="54" t="s">
        <v>2912</v>
      </c>
      <c r="P8" s="54" t="s">
        <v>2912</v>
      </c>
      <c r="Q8" s="54" t="s">
        <v>2912</v>
      </c>
      <c r="R8" s="54" t="s">
        <v>2912</v>
      </c>
      <c r="S8" s="54" t="s">
        <v>2912</v>
      </c>
    </row>
    <row r="9" spans="1:19">
      <c r="A9" s="106">
        <v>429</v>
      </c>
      <c r="B9" s="107" t="str">
        <f ca="1">VLOOKUP( $A9, Aop!$A$2:$P$456, 2, 0)</f>
        <v>BPK</v>
      </c>
      <c r="C9" s="57" t="str">
        <f t="shared" ca="1" si="0"/>
        <v>01111329</v>
      </c>
      <c r="D9" s="57" t="str">
        <f t="shared" ca="1" si="1"/>
        <v>4400692320002</v>
      </c>
      <c r="E9" s="57" t="b">
        <f t="shared" ca="1" si="2"/>
        <v>0</v>
      </c>
      <c r="F9" s="11">
        <f ca="1">VLOOKUP( $A9, Aop!$A$2:$P$456, 4, 0)</f>
        <v>905</v>
      </c>
      <c r="G9" s="57">
        <f t="shared" ca="1" si="3"/>
        <v>2022</v>
      </c>
      <c r="H9" s="140">
        <f t="shared" ca="1" si="4"/>
        <v>44742</v>
      </c>
      <c r="I9" s="57">
        <f t="shared" ca="1" si="5"/>
        <v>2</v>
      </c>
      <c r="J9" s="54" t="str">
        <f t="shared" ca="1" si="6"/>
        <v/>
      </c>
      <c r="K9" s="54" t="str">
        <f t="shared" ca="1" si="6"/>
        <v/>
      </c>
      <c r="L9" s="54" t="str">
        <f t="shared" ca="1" si="6"/>
        <v/>
      </c>
      <c r="M9" s="54" t="str">
        <f t="shared" ca="1" si="6"/>
        <v/>
      </c>
      <c r="N9" s="54" t="str">
        <f t="shared" ca="1" si="6"/>
        <v/>
      </c>
      <c r="O9" s="54" t="str">
        <f t="shared" ca="1" si="6"/>
        <v/>
      </c>
      <c r="P9" s="54" t="str">
        <f t="shared" ca="1" si="6"/>
        <v/>
      </c>
      <c r="Q9" s="54">
        <f t="shared" ca="1" si="6"/>
        <v>0</v>
      </c>
      <c r="R9" s="54" t="str">
        <f t="shared" ca="1" si="6"/>
        <v/>
      </c>
      <c r="S9" s="54">
        <f t="shared" ca="1" si="6"/>
        <v>0</v>
      </c>
    </row>
    <row r="10" spans="1:19">
      <c r="A10" s="106">
        <v>430</v>
      </c>
      <c r="B10" s="107" t="str">
        <f ca="1">VLOOKUP( $A10, Aop!$A$2:$P$456, 2, 0)</f>
        <v>BPK</v>
      </c>
      <c r="C10" s="57" t="str">
        <f t="shared" ca="1" si="0"/>
        <v>01111329</v>
      </c>
      <c r="D10" s="57" t="str">
        <f t="shared" ca="1" si="1"/>
        <v>4400692320002</v>
      </c>
      <c r="E10" s="57" t="b">
        <f t="shared" ca="1" si="2"/>
        <v>0</v>
      </c>
      <c r="F10" s="11">
        <f ca="1">VLOOKUP( $A10, Aop!$A$2:$P$456, 4, 0)</f>
        <v>906</v>
      </c>
      <c r="G10" s="57">
        <f t="shared" ca="1" si="3"/>
        <v>2022</v>
      </c>
      <c r="H10" s="140">
        <f t="shared" ca="1" si="4"/>
        <v>44742</v>
      </c>
      <c r="I10" s="57">
        <f t="shared" ca="1" si="5"/>
        <v>2</v>
      </c>
      <c r="J10" s="54" t="str">
        <f t="shared" ca="1" si="6"/>
        <v/>
      </c>
      <c r="K10" s="54" t="str">
        <f t="shared" ca="1" si="6"/>
        <v/>
      </c>
      <c r="L10" s="54" t="str">
        <f t="shared" ca="1" si="6"/>
        <v/>
      </c>
      <c r="M10" s="54" t="str">
        <f t="shared" ca="1" si="6"/>
        <v/>
      </c>
      <c r="N10" s="54" t="str">
        <f t="shared" ca="1" si="6"/>
        <v/>
      </c>
      <c r="O10" s="54" t="str">
        <f t="shared" ca="1" si="6"/>
        <v/>
      </c>
      <c r="P10" s="54" t="str">
        <f t="shared" ca="1" si="6"/>
        <v/>
      </c>
      <c r="Q10" s="54">
        <f t="shared" ca="1" si="6"/>
        <v>0</v>
      </c>
      <c r="R10" s="54" t="str">
        <f t="shared" ca="1" si="6"/>
        <v/>
      </c>
      <c r="S10" s="54">
        <f t="shared" ca="1" si="6"/>
        <v>0</v>
      </c>
    </row>
    <row r="11" spans="1:19">
      <c r="A11" s="106">
        <v>431</v>
      </c>
      <c r="B11" s="107" t="str">
        <f ca="1">VLOOKUP( $A11, Aop!$A$2:$P$456, 2, 0)</f>
        <v>BPK</v>
      </c>
      <c r="C11" s="57" t="str">
        <f t="shared" ca="1" si="0"/>
        <v>01111329</v>
      </c>
      <c r="D11" s="57" t="str">
        <f t="shared" ca="1" si="1"/>
        <v>4400692320002</v>
      </c>
      <c r="E11" s="57" t="b">
        <f t="shared" ca="1" si="2"/>
        <v>0</v>
      </c>
      <c r="F11" s="11">
        <f ca="1">VLOOKUP( $A11, Aop!$A$2:$P$456, 4, 0)</f>
        <v>907</v>
      </c>
      <c r="G11" s="57">
        <f t="shared" ca="1" si="3"/>
        <v>2022</v>
      </c>
      <c r="H11" s="140">
        <f t="shared" ca="1" si="4"/>
        <v>44742</v>
      </c>
      <c r="I11" s="57">
        <f t="shared" ca="1" si="5"/>
        <v>2</v>
      </c>
      <c r="J11" s="54">
        <f t="shared" ca="1" si="6"/>
        <v>0</v>
      </c>
      <c r="K11" s="54">
        <f t="shared" ca="1" si="6"/>
        <v>0</v>
      </c>
      <c r="L11" s="54">
        <f t="shared" ca="1" si="6"/>
        <v>0</v>
      </c>
      <c r="M11" s="54">
        <f t="shared" ca="1" si="6"/>
        <v>0</v>
      </c>
      <c r="N11" s="54">
        <f t="shared" ca="1" si="6"/>
        <v>0</v>
      </c>
      <c r="O11" s="54">
        <f t="shared" ca="1" si="6"/>
        <v>0</v>
      </c>
      <c r="P11" s="54">
        <f t="shared" ca="1" si="6"/>
        <v>0</v>
      </c>
      <c r="Q11" s="54">
        <f t="shared" ca="1" si="6"/>
        <v>0</v>
      </c>
      <c r="R11" s="54">
        <f t="shared" ca="1" si="6"/>
        <v>0</v>
      </c>
      <c r="S11" s="54">
        <f t="shared" ca="1" si="6"/>
        <v>0</v>
      </c>
    </row>
    <row r="12" spans="1:19">
      <c r="A12" s="106">
        <v>432</v>
      </c>
      <c r="B12" s="107" t="str">
        <f ca="1">VLOOKUP( $A12, Aop!$A$2:$P$456, 2, 0)</f>
        <v>BPK</v>
      </c>
      <c r="C12" s="57" t="str">
        <f t="shared" ca="1" si="0"/>
        <v>01111329</v>
      </c>
      <c r="D12" s="57" t="str">
        <f t="shared" ca="1" si="1"/>
        <v>4400692320002</v>
      </c>
      <c r="E12" s="57" t="b">
        <f t="shared" ca="1" si="2"/>
        <v>0</v>
      </c>
      <c r="F12" s="11">
        <f ca="1">VLOOKUP( $A12, Aop!$A$2:$P$456, 4, 0)</f>
        <v>0</v>
      </c>
      <c r="G12" s="57">
        <f t="shared" ca="1" si="3"/>
        <v>2022</v>
      </c>
      <c r="H12" s="140">
        <f t="shared" ca="1" si="4"/>
        <v>44742</v>
      </c>
      <c r="I12" s="57">
        <f t="shared" ca="1" si="5"/>
        <v>2</v>
      </c>
      <c r="J12" s="54" t="s">
        <v>2912</v>
      </c>
      <c r="K12" s="54" t="s">
        <v>2912</v>
      </c>
      <c r="L12" s="54" t="s">
        <v>2912</v>
      </c>
      <c r="M12" s="54" t="s">
        <v>2912</v>
      </c>
      <c r="N12" s="54" t="s">
        <v>2912</v>
      </c>
      <c r="O12" s="54" t="s">
        <v>2912</v>
      </c>
      <c r="P12" s="54" t="s">
        <v>2912</v>
      </c>
      <c r="Q12" s="54" t="s">
        <v>2912</v>
      </c>
      <c r="R12" s="54" t="s">
        <v>2912</v>
      </c>
      <c r="S12" s="54" t="s">
        <v>2912</v>
      </c>
    </row>
    <row r="13" spans="1:19">
      <c r="A13" s="106">
        <v>433</v>
      </c>
      <c r="B13" s="107" t="str">
        <f ca="1">VLOOKUP( $A13, Aop!$A$2:$P$456, 2, 0)</f>
        <v>BPK</v>
      </c>
      <c r="C13" s="57" t="str">
        <f t="shared" ca="1" si="0"/>
        <v>01111329</v>
      </c>
      <c r="D13" s="57" t="str">
        <f t="shared" ca="1" si="1"/>
        <v>4400692320002</v>
      </c>
      <c r="E13" s="57" t="b">
        <f t="shared" ca="1" si="2"/>
        <v>0</v>
      </c>
      <c r="F13" s="11">
        <f ca="1">VLOOKUP( $A13, Aop!$A$2:$P$456, 4, 0)</f>
        <v>908</v>
      </c>
      <c r="G13" s="57">
        <f t="shared" ca="1" si="3"/>
        <v>2022</v>
      </c>
      <c r="H13" s="140">
        <f t="shared" ca="1" si="4"/>
        <v>44742</v>
      </c>
      <c r="I13" s="57">
        <f t="shared" ca="1" si="5"/>
        <v>2</v>
      </c>
      <c r="J13" s="54" t="str">
        <f t="shared" ca="1" si="6"/>
        <v/>
      </c>
      <c r="K13" s="54" t="str">
        <f t="shared" ca="1" si="6"/>
        <v/>
      </c>
      <c r="L13" s="54" t="str">
        <f t="shared" ca="1" si="6"/>
        <v/>
      </c>
      <c r="M13" s="54" t="str">
        <f t="shared" ca="1" si="6"/>
        <v/>
      </c>
      <c r="N13" s="54" t="str">
        <f t="shared" ca="1" si="6"/>
        <v/>
      </c>
      <c r="O13" s="54" t="str">
        <f t="shared" ca="1" si="6"/>
        <v/>
      </c>
      <c r="P13" s="54" t="str">
        <f t="shared" ca="1" si="6"/>
        <v/>
      </c>
      <c r="Q13" s="54">
        <f t="shared" ca="1" si="6"/>
        <v>0</v>
      </c>
      <c r="R13" s="54" t="str">
        <f t="shared" ca="1" si="6"/>
        <v/>
      </c>
      <c r="S13" s="54">
        <f t="shared" ca="1" si="6"/>
        <v>0</v>
      </c>
    </row>
    <row r="14" spans="1:19">
      <c r="A14" s="106">
        <v>434</v>
      </c>
      <c r="B14" s="107" t="str">
        <f ca="1">VLOOKUP( $A14, Aop!$A$2:$P$456, 2, 0)</f>
        <v>BPK</v>
      </c>
      <c r="C14" s="57" t="str">
        <f t="shared" ca="1" si="0"/>
        <v>01111329</v>
      </c>
      <c r="D14" s="57" t="str">
        <f t="shared" ca="1" si="1"/>
        <v>4400692320002</v>
      </c>
      <c r="E14" s="57" t="b">
        <f t="shared" ca="1" si="2"/>
        <v>0</v>
      </c>
      <c r="F14" s="11">
        <f ca="1">VLOOKUP( $A14, Aop!$A$2:$P$456, 4, 0)</f>
        <v>909</v>
      </c>
      <c r="G14" s="57">
        <f t="shared" ca="1" si="3"/>
        <v>2022</v>
      </c>
      <c r="H14" s="140">
        <f t="shared" ca="1" si="4"/>
        <v>44742</v>
      </c>
      <c r="I14" s="57">
        <f t="shared" ca="1" si="5"/>
        <v>2</v>
      </c>
      <c r="J14" s="54" t="str">
        <f t="shared" ca="1" si="6"/>
        <v/>
      </c>
      <c r="K14" s="54" t="str">
        <f t="shared" ca="1" si="6"/>
        <v/>
      </c>
      <c r="L14" s="54" t="str">
        <f t="shared" ca="1" si="6"/>
        <v/>
      </c>
      <c r="M14" s="54" t="str">
        <f t="shared" ca="1" si="6"/>
        <v/>
      </c>
      <c r="N14" s="54" t="str">
        <f t="shared" ca="1" si="6"/>
        <v/>
      </c>
      <c r="O14" s="54" t="str">
        <f t="shared" ca="1" si="6"/>
        <v/>
      </c>
      <c r="P14" s="54" t="str">
        <f t="shared" ca="1" si="6"/>
        <v/>
      </c>
      <c r="Q14" s="54">
        <f t="shared" ca="1" si="6"/>
        <v>0</v>
      </c>
      <c r="R14" s="54" t="str">
        <f t="shared" ca="1" si="6"/>
        <v/>
      </c>
      <c r="S14" s="54">
        <f t="shared" ca="1" si="6"/>
        <v>0</v>
      </c>
    </row>
    <row r="15" spans="1:19">
      <c r="A15" s="106">
        <v>435</v>
      </c>
      <c r="B15" s="107" t="str">
        <f ca="1">VLOOKUP( $A15, Aop!$A$2:$P$456, 2, 0)</f>
        <v>BPK</v>
      </c>
      <c r="C15" s="57" t="str">
        <f t="shared" ca="1" si="0"/>
        <v>01111329</v>
      </c>
      <c r="D15" s="57" t="str">
        <f t="shared" ca="1" si="1"/>
        <v>4400692320002</v>
      </c>
      <c r="E15" s="57" t="b">
        <f t="shared" ca="1" si="2"/>
        <v>0</v>
      </c>
      <c r="F15" s="11">
        <f ca="1">VLOOKUP( $A15, Aop!$A$2:$P$456, 4, 0)</f>
        <v>910</v>
      </c>
      <c r="G15" s="57">
        <f t="shared" ca="1" si="3"/>
        <v>2022</v>
      </c>
      <c r="H15" s="140">
        <f t="shared" ca="1" si="4"/>
        <v>44742</v>
      </c>
      <c r="I15" s="57">
        <f t="shared" ca="1" si="5"/>
        <v>2</v>
      </c>
      <c r="J15" s="54" t="str">
        <f t="shared" ca="1" si="6"/>
        <v/>
      </c>
      <c r="K15" s="54" t="str">
        <f t="shared" ca="1" si="6"/>
        <v/>
      </c>
      <c r="L15" s="54" t="str">
        <f t="shared" ca="1" si="6"/>
        <v/>
      </c>
      <c r="M15" s="54" t="str">
        <f t="shared" ca="1" si="6"/>
        <v/>
      </c>
      <c r="N15" s="54" t="str">
        <f t="shared" ca="1" si="6"/>
        <v/>
      </c>
      <c r="O15" s="54" t="str">
        <f t="shared" ca="1" si="6"/>
        <v/>
      </c>
      <c r="P15" s="54" t="str">
        <f t="shared" ca="1" si="6"/>
        <v/>
      </c>
      <c r="Q15" s="54">
        <f t="shared" ca="1" si="6"/>
        <v>0</v>
      </c>
      <c r="R15" s="54" t="str">
        <f t="shared" ca="1" si="6"/>
        <v/>
      </c>
      <c r="S15" s="54">
        <f t="shared" ca="1" si="6"/>
        <v>0</v>
      </c>
    </row>
    <row r="16" spans="1:19">
      <c r="A16" s="106">
        <v>436</v>
      </c>
      <c r="B16" s="107" t="str">
        <f ca="1">VLOOKUP( $A16, Aop!$A$2:$P$456, 2, 0)</f>
        <v>BPK</v>
      </c>
      <c r="C16" s="57" t="str">
        <f t="shared" ca="1" si="0"/>
        <v>01111329</v>
      </c>
      <c r="D16" s="57" t="str">
        <f t="shared" ca="1" si="1"/>
        <v>4400692320002</v>
      </c>
      <c r="E16" s="57" t="b">
        <f t="shared" ca="1" si="2"/>
        <v>0</v>
      </c>
      <c r="F16" s="11">
        <f ca="1">VLOOKUP( $A16, Aop!$A$2:$P$456, 4, 0)</f>
        <v>911</v>
      </c>
      <c r="G16" s="57">
        <f t="shared" ca="1" si="3"/>
        <v>2022</v>
      </c>
      <c r="H16" s="140">
        <f t="shared" ca="1" si="4"/>
        <v>44742</v>
      </c>
      <c r="I16" s="57">
        <f t="shared" ca="1" si="5"/>
        <v>2</v>
      </c>
      <c r="J16" s="54" t="str">
        <f t="shared" ca="1" si="6"/>
        <v/>
      </c>
      <c r="K16" s="54" t="str">
        <f t="shared" ca="1" si="6"/>
        <v/>
      </c>
      <c r="L16" s="54" t="str">
        <f t="shared" ca="1" si="6"/>
        <v/>
      </c>
      <c r="M16" s="54" t="str">
        <f t="shared" ca="1" si="6"/>
        <v/>
      </c>
      <c r="N16" s="54" t="str">
        <f t="shared" ca="1" si="6"/>
        <v/>
      </c>
      <c r="O16" s="54" t="str">
        <f t="shared" ca="1" si="6"/>
        <v/>
      </c>
      <c r="P16" s="54" t="str">
        <f t="shared" ca="1" si="6"/>
        <v/>
      </c>
      <c r="Q16" s="54">
        <f t="shared" ca="1" si="6"/>
        <v>0</v>
      </c>
      <c r="R16" s="54" t="str">
        <f t="shared" ca="1" si="6"/>
        <v/>
      </c>
      <c r="S16" s="54">
        <f t="shared" ca="1" si="6"/>
        <v>0</v>
      </c>
    </row>
    <row r="17" spans="1:19">
      <c r="A17" s="106">
        <v>437</v>
      </c>
      <c r="B17" s="107" t="str">
        <f ca="1">VLOOKUP( $A17, Aop!$A$2:$P$456, 2, 0)</f>
        <v>BPK</v>
      </c>
      <c r="C17" s="57" t="str">
        <f t="shared" ca="1" si="0"/>
        <v>01111329</v>
      </c>
      <c r="D17" s="57" t="str">
        <f t="shared" ca="1" si="1"/>
        <v>4400692320002</v>
      </c>
      <c r="E17" s="57" t="b">
        <f t="shared" ca="1" si="2"/>
        <v>0</v>
      </c>
      <c r="F17" s="11">
        <f ca="1">VLOOKUP( $A17, Aop!$A$2:$P$456, 4, 0)</f>
        <v>912</v>
      </c>
      <c r="G17" s="57">
        <f t="shared" ca="1" si="3"/>
        <v>2022</v>
      </c>
      <c r="H17" s="140">
        <f t="shared" ca="1" si="4"/>
        <v>44742</v>
      </c>
      <c r="I17" s="57">
        <f t="shared" ca="1" si="5"/>
        <v>2</v>
      </c>
      <c r="J17" s="54" t="str">
        <f t="shared" ca="1" si="6"/>
        <v/>
      </c>
      <c r="K17" s="54" t="str">
        <f t="shared" ca="1" si="6"/>
        <v/>
      </c>
      <c r="L17" s="54" t="str">
        <f t="shared" ca="1" si="6"/>
        <v/>
      </c>
      <c r="M17" s="54" t="str">
        <f t="shared" ca="1" si="6"/>
        <v/>
      </c>
      <c r="N17" s="54" t="str">
        <f t="shared" ca="1" si="6"/>
        <v/>
      </c>
      <c r="O17" s="54" t="str">
        <f t="shared" ca="1" si="6"/>
        <v/>
      </c>
      <c r="P17" s="54" t="str">
        <f t="shared" ca="1" si="6"/>
        <v/>
      </c>
      <c r="Q17" s="54">
        <f t="shared" ca="1" si="6"/>
        <v>0</v>
      </c>
      <c r="R17" s="54" t="str">
        <f t="shared" ca="1" si="6"/>
        <v/>
      </c>
      <c r="S17" s="54">
        <f t="shared" ca="1" si="6"/>
        <v>0</v>
      </c>
    </row>
    <row r="18" spans="1:19">
      <c r="A18" s="106">
        <v>438</v>
      </c>
      <c r="B18" s="107" t="str">
        <f ca="1">VLOOKUP( $A18, Aop!$A$2:$P$456, 2, 0)</f>
        <v>BPK</v>
      </c>
      <c r="C18" s="57" t="str">
        <f t="shared" ca="1" si="0"/>
        <v>01111329</v>
      </c>
      <c r="D18" s="57" t="str">
        <f t="shared" ca="1" si="1"/>
        <v>4400692320002</v>
      </c>
      <c r="E18" s="57" t="b">
        <f t="shared" ca="1" si="2"/>
        <v>0</v>
      </c>
      <c r="F18" s="11">
        <f ca="1">VLOOKUP( $A18, Aop!$A$2:$P$456, 4, 0)</f>
        <v>0</v>
      </c>
      <c r="G18" s="57">
        <f t="shared" ca="1" si="3"/>
        <v>2022</v>
      </c>
      <c r="H18" s="140">
        <f t="shared" ca="1" si="4"/>
        <v>44742</v>
      </c>
      <c r="I18" s="57">
        <f t="shared" ca="1" si="5"/>
        <v>2</v>
      </c>
      <c r="J18" s="54" t="s">
        <v>2912</v>
      </c>
      <c r="K18" s="54" t="s">
        <v>2912</v>
      </c>
      <c r="L18" s="54" t="s">
        <v>2912</v>
      </c>
      <c r="M18" s="54" t="s">
        <v>2912</v>
      </c>
      <c r="N18" s="54" t="s">
        <v>2912</v>
      </c>
      <c r="O18" s="54" t="s">
        <v>2912</v>
      </c>
      <c r="P18" s="54" t="s">
        <v>2912</v>
      </c>
      <c r="Q18" s="54" t="s">
        <v>2912</v>
      </c>
      <c r="R18" s="54" t="s">
        <v>2912</v>
      </c>
      <c r="S18" s="54" t="s">
        <v>2912</v>
      </c>
    </row>
    <row r="19" spans="1:19">
      <c r="A19" s="106">
        <v>439</v>
      </c>
      <c r="B19" s="107" t="str">
        <f ca="1">VLOOKUP( $A19, Aop!$A$2:$P$456, 2, 0)</f>
        <v>BPK</v>
      </c>
      <c r="C19" s="57" t="str">
        <f t="shared" ca="1" si="0"/>
        <v>01111329</v>
      </c>
      <c r="D19" s="57" t="str">
        <f t="shared" ca="1" si="1"/>
        <v>4400692320002</v>
      </c>
      <c r="E19" s="57" t="b">
        <f t="shared" ca="1" si="2"/>
        <v>0</v>
      </c>
      <c r="F19" s="11">
        <f ca="1">VLOOKUP( $A19, Aop!$A$2:$P$456, 4, 0)</f>
        <v>913</v>
      </c>
      <c r="G19" s="57">
        <f t="shared" ca="1" si="3"/>
        <v>2022</v>
      </c>
      <c r="H19" s="140">
        <f t="shared" ca="1" si="4"/>
        <v>44742</v>
      </c>
      <c r="I19" s="57">
        <f t="shared" ca="1" si="5"/>
        <v>2</v>
      </c>
      <c r="J19" s="54">
        <f t="shared" ca="1" si="6"/>
        <v>50777428</v>
      </c>
      <c r="K19" s="54">
        <f t="shared" ca="1" si="6"/>
        <v>0</v>
      </c>
      <c r="L19" s="54">
        <f t="shared" ca="1" si="6"/>
        <v>20971</v>
      </c>
      <c r="M19" s="54">
        <f t="shared" ca="1" si="6"/>
        <v>0</v>
      </c>
      <c r="N19" s="54">
        <f t="shared" ca="1" si="6"/>
        <v>0</v>
      </c>
      <c r="O19" s="54">
        <f t="shared" ca="1" si="6"/>
        <v>15495786</v>
      </c>
      <c r="P19" s="54">
        <f t="shared" ca="1" si="6"/>
        <v>19107814</v>
      </c>
      <c r="Q19" s="54">
        <f t="shared" ca="1" si="6"/>
        <v>85401999</v>
      </c>
      <c r="R19" s="54">
        <f t="shared" ca="1" si="6"/>
        <v>0</v>
      </c>
      <c r="S19" s="54">
        <f t="shared" ca="1" si="6"/>
        <v>85401999</v>
      </c>
    </row>
    <row r="20" spans="1:19">
      <c r="A20" s="106">
        <v>440</v>
      </c>
      <c r="B20" s="112" t="str">
        <f ca="1">VLOOKUP( $A20, Aop!$A$2:$P$456, 2, 0)</f>
        <v>BPK</v>
      </c>
      <c r="C20" s="57" t="str">
        <f t="shared" ca="1" si="0"/>
        <v>01111329</v>
      </c>
      <c r="D20" s="57" t="str">
        <f t="shared" ca="1" si="1"/>
        <v>4400692320002</v>
      </c>
      <c r="E20" s="57" t="b">
        <f t="shared" ca="1" si="2"/>
        <v>0</v>
      </c>
      <c r="F20" s="11">
        <f ca="1">VLOOKUP( $A20, Aop!$A$2:$P$456, 4, 0)</f>
        <v>0</v>
      </c>
      <c r="G20" s="57">
        <f t="shared" ca="1" si="3"/>
        <v>2022</v>
      </c>
      <c r="H20" s="140">
        <f t="shared" ca="1" si="4"/>
        <v>44742</v>
      </c>
      <c r="I20" s="57">
        <f t="shared" ca="1" si="5"/>
        <v>2</v>
      </c>
      <c r="J20" s="54" t="s">
        <v>2912</v>
      </c>
      <c r="K20" s="54" t="s">
        <v>2912</v>
      </c>
      <c r="L20" s="54" t="s">
        <v>2912</v>
      </c>
      <c r="M20" s="54" t="s">
        <v>2912</v>
      </c>
      <c r="N20" s="54" t="s">
        <v>2912</v>
      </c>
      <c r="O20" s="54" t="s">
        <v>2912</v>
      </c>
      <c r="P20" s="54" t="s">
        <v>2912</v>
      </c>
      <c r="Q20" s="54" t="s">
        <v>2912</v>
      </c>
      <c r="R20" s="54" t="s">
        <v>2912</v>
      </c>
      <c r="S20" s="54" t="s">
        <v>2912</v>
      </c>
    </row>
    <row r="21" spans="1:19">
      <c r="A21" s="106">
        <v>441</v>
      </c>
      <c r="B21" s="227" t="str">
        <f ca="1">VLOOKUP( $A21, Aop!$A$2:$P$456, 2, 0)</f>
        <v>BPK</v>
      </c>
      <c r="C21" s="54" t="str">
        <f ca="1">Podatak_MB</f>
        <v>01111329</v>
      </c>
      <c r="D21" s="54" t="str">
        <f ca="1">Podatak_JIB</f>
        <v>4400692320002</v>
      </c>
      <c r="E21" s="54" t="b">
        <f ca="1">Konsolidovan_izvjestaj</f>
        <v>0</v>
      </c>
      <c r="F21" s="11">
        <f ca="1">VLOOKUP( $A21, Aop!$A$2:$P$456, 4, 0)</f>
        <v>914</v>
      </c>
      <c r="G21" s="54">
        <f ca="1">Godina</f>
        <v>2022</v>
      </c>
      <c r="H21" s="226">
        <f ca="1">Datum_Broj</f>
        <v>44742</v>
      </c>
      <c r="I21" s="54">
        <f ca="1">ID_Izvjestaj</f>
        <v>2</v>
      </c>
      <c r="J21" s="54" t="str">
        <f t="shared" ref="J21:S23" ca="1" si="7">IF(VLOOKUP($F21,INDIRECT("Lookup_"&amp;$B21),J$1-1,0)="","",VLOOKUP($F21,INDIRECT("Lookup_"&amp;$B21),J$1-1,0))</f>
        <v/>
      </c>
      <c r="K21" s="54" t="str">
        <f t="shared" ca="1" si="7"/>
        <v/>
      </c>
      <c r="L21" s="54" t="str">
        <f t="shared" ca="1" si="7"/>
        <v/>
      </c>
      <c r="M21" s="54" t="str">
        <f t="shared" ca="1" si="7"/>
        <v/>
      </c>
      <c r="N21" s="54" t="str">
        <f t="shared" ca="1" si="7"/>
        <v/>
      </c>
      <c r="O21" s="54" t="str">
        <f t="shared" ca="1" si="7"/>
        <v/>
      </c>
      <c r="P21" s="54" t="str">
        <f t="shared" ca="1" si="7"/>
        <v/>
      </c>
      <c r="Q21" s="54">
        <f t="shared" ca="1" si="7"/>
        <v>0</v>
      </c>
      <c r="R21" s="54" t="str">
        <f t="shared" ca="1" si="7"/>
        <v/>
      </c>
      <c r="S21" s="54">
        <f t="shared" ca="1" si="7"/>
        <v>0</v>
      </c>
    </row>
    <row r="22" spans="1:19">
      <c r="A22" s="106">
        <v>442</v>
      </c>
      <c r="B22" s="227" t="str">
        <f ca="1">VLOOKUP( $A22, Aop!$A$2:$P$456, 2, 0)</f>
        <v>BPK</v>
      </c>
      <c r="C22" s="54" t="str">
        <f ca="1">Podatak_MB</f>
        <v>01111329</v>
      </c>
      <c r="D22" s="54" t="str">
        <f ca="1">Podatak_JIB</f>
        <v>4400692320002</v>
      </c>
      <c r="E22" s="54" t="b">
        <f ca="1">Konsolidovan_izvjestaj</f>
        <v>0</v>
      </c>
      <c r="F22" s="11">
        <f ca="1">VLOOKUP( $A22, Aop!$A$2:$P$456, 4, 0)</f>
        <v>915</v>
      </c>
      <c r="G22" s="54">
        <f ca="1">Godina</f>
        <v>2022</v>
      </c>
      <c r="H22" s="226">
        <f ca="1">Datum_Broj</f>
        <v>44742</v>
      </c>
      <c r="I22" s="54">
        <f ca="1">ID_Izvjestaj</f>
        <v>2</v>
      </c>
      <c r="J22" s="54" t="s">
        <v>2912</v>
      </c>
      <c r="K22" s="54" t="s">
        <v>2912</v>
      </c>
      <c r="L22" s="54" t="s">
        <v>2912</v>
      </c>
      <c r="M22" s="54" t="s">
        <v>2912</v>
      </c>
      <c r="N22" s="54" t="s">
        <v>2912</v>
      </c>
      <c r="O22" s="54" t="s">
        <v>2912</v>
      </c>
      <c r="P22" s="54" t="s">
        <v>2912</v>
      </c>
      <c r="Q22" s="54" t="s">
        <v>2912</v>
      </c>
      <c r="R22" s="54" t="s">
        <v>2912</v>
      </c>
      <c r="S22" s="54" t="s">
        <v>2912</v>
      </c>
    </row>
    <row r="23" spans="1:19">
      <c r="A23" s="106">
        <v>443</v>
      </c>
      <c r="B23" s="227" t="str">
        <f ca="1">VLOOKUP( $A23, Aop!$A$2:$P$456, 2, 0)</f>
        <v>BPK</v>
      </c>
      <c r="C23" s="54" t="str">
        <f ca="1">Podatak_MB</f>
        <v>01111329</v>
      </c>
      <c r="D23" s="54" t="str">
        <f ca="1">Podatak_JIB</f>
        <v>4400692320002</v>
      </c>
      <c r="E23" s="54" t="b">
        <f ca="1">Konsolidovan_izvjestaj</f>
        <v>0</v>
      </c>
      <c r="F23" s="11">
        <f ca="1">VLOOKUP( $A23, Aop!$A$2:$P$456, 4, 0)</f>
        <v>916</v>
      </c>
      <c r="G23" s="54">
        <f ca="1">Godina</f>
        <v>2022</v>
      </c>
      <c r="H23" s="226">
        <f ca="1">Datum_Broj</f>
        <v>44742</v>
      </c>
      <c r="I23" s="54">
        <f ca="1">ID_Izvjestaj</f>
        <v>2</v>
      </c>
      <c r="J23" s="54">
        <f t="shared" ca="1" si="7"/>
        <v>50777428</v>
      </c>
      <c r="K23" s="54">
        <f t="shared" ca="1" si="7"/>
        <v>0</v>
      </c>
      <c r="L23" s="54">
        <f t="shared" ca="1" si="7"/>
        <v>20971</v>
      </c>
      <c r="M23" s="54">
        <f t="shared" ca="1" si="7"/>
        <v>0</v>
      </c>
      <c r="N23" s="54">
        <f t="shared" ca="1" si="7"/>
        <v>0</v>
      </c>
      <c r="O23" s="54">
        <f t="shared" ca="1" si="7"/>
        <v>15495786</v>
      </c>
      <c r="P23" s="54">
        <f t="shared" ca="1" si="7"/>
        <v>19107814</v>
      </c>
      <c r="Q23" s="54">
        <f t="shared" ca="1" si="7"/>
        <v>85401999</v>
      </c>
      <c r="R23" s="54">
        <f t="shared" ca="1" si="7"/>
        <v>0</v>
      </c>
      <c r="S23" s="54">
        <f t="shared" ca="1" si="7"/>
        <v>85401999</v>
      </c>
    </row>
    <row r="24" spans="1:19">
      <c r="A24" s="106">
        <v>444</v>
      </c>
      <c r="B24" s="227" t="str">
        <f ca="1">VLOOKUP( $A24, Aop!$A$2:$P$456, 2, 0)</f>
        <v>BPK</v>
      </c>
      <c r="C24" s="54" t="str">
        <f ca="1">Podatak_MB</f>
        <v>01111329</v>
      </c>
      <c r="D24" s="54" t="str">
        <f ca="1">Podatak_JIB</f>
        <v>4400692320002</v>
      </c>
      <c r="E24" s="54" t="b">
        <f ca="1">Konsolidovan_izvjestaj</f>
        <v>0</v>
      </c>
      <c r="F24" s="11">
        <f ca="1">VLOOKUP( $A24, Aop!$A$2:$P$456, 4, 0)</f>
        <v>0</v>
      </c>
      <c r="G24" s="54">
        <f ca="1">Godina</f>
        <v>2022</v>
      </c>
      <c r="H24" s="226">
        <f ca="1">Datum_Broj</f>
        <v>44742</v>
      </c>
      <c r="I24" s="54">
        <f ca="1">ID_Izvjestaj</f>
        <v>2</v>
      </c>
      <c r="J24" s="54" t="s">
        <v>2912</v>
      </c>
      <c r="K24" s="54" t="s">
        <v>2912</v>
      </c>
      <c r="L24" s="54" t="s">
        <v>2912</v>
      </c>
      <c r="M24" s="54" t="s">
        <v>2912</v>
      </c>
      <c r="N24" s="54" t="s">
        <v>2912</v>
      </c>
      <c r="O24" s="54" t="s">
        <v>2912</v>
      </c>
      <c r="P24" s="54" t="s">
        <v>2912</v>
      </c>
      <c r="Q24" s="54" t="s">
        <v>2912</v>
      </c>
      <c r="R24" s="54" t="s">
        <v>2912</v>
      </c>
      <c r="S24" s="54" t="s">
        <v>2912</v>
      </c>
    </row>
    <row r="25" spans="1:19">
      <c r="A25" s="106">
        <v>445</v>
      </c>
      <c r="B25" s="227" t="str">
        <f ca="1">VLOOKUP( $A25, Aop!$A$2:$P$456, 2, 0)</f>
        <v>BPK</v>
      </c>
      <c r="C25" s="54" t="str">
        <f t="shared" ref="C25:C34" ca="1" si="8">Podatak_MB</f>
        <v>01111329</v>
      </c>
      <c r="D25" s="54" t="str">
        <f t="shared" ref="D25:D34" ca="1" si="9">Podatak_JIB</f>
        <v>4400692320002</v>
      </c>
      <c r="E25" s="54" t="b">
        <f t="shared" ref="E25:E34" ca="1" si="10">Konsolidovan_izvjestaj</f>
        <v>0</v>
      </c>
      <c r="F25" s="11">
        <f ca="1">VLOOKUP( $A25, Aop!$A$2:$P$456, 4, 0)</f>
        <v>917</v>
      </c>
      <c r="G25" s="54">
        <f t="shared" ref="G25:G34" ca="1" si="11">Godina</f>
        <v>2022</v>
      </c>
      <c r="H25" s="226">
        <f t="shared" ref="H25:H34" ca="1" si="12">Datum_Broj</f>
        <v>44742</v>
      </c>
      <c r="I25" s="54">
        <f t="shared" ref="I25:I34" ca="1" si="13">ID_Izvjestaj</f>
        <v>2</v>
      </c>
      <c r="J25" s="54" t="str">
        <f t="shared" ref="J25:J34" ca="1" si="14">IF(VLOOKUP($F25,INDIRECT("Lookup_"&amp;$B25),J$1-1,0)="","",VLOOKUP($F25,INDIRECT("Lookup_"&amp;$B25),J$1-1,0))</f>
        <v/>
      </c>
      <c r="K25" s="54"/>
      <c r="L25" s="54"/>
      <c r="M25" s="54"/>
      <c r="N25" s="54"/>
      <c r="O25" s="54"/>
      <c r="P25" s="54"/>
      <c r="Q25" s="54"/>
      <c r="R25" s="54"/>
      <c r="S25" s="54"/>
    </row>
    <row r="26" spans="1:19">
      <c r="A26" s="106">
        <v>446</v>
      </c>
      <c r="B26" s="227" t="str">
        <f ca="1">VLOOKUP( $A26, Aop!$A$2:$P$456, 2, 0)</f>
        <v>BPK</v>
      </c>
      <c r="C26" s="54" t="str">
        <f t="shared" ca="1" si="8"/>
        <v>01111329</v>
      </c>
      <c r="D26" s="54" t="str">
        <f t="shared" ca="1" si="9"/>
        <v>4400692320002</v>
      </c>
      <c r="E26" s="54" t="b">
        <f t="shared" ca="1" si="10"/>
        <v>0</v>
      </c>
      <c r="F26" s="11">
        <f ca="1">VLOOKUP( $A26, Aop!$A$2:$P$456, 4, 0)</f>
        <v>918</v>
      </c>
      <c r="G26" s="54">
        <f t="shared" ca="1" si="11"/>
        <v>2022</v>
      </c>
      <c r="H26" s="226">
        <f t="shared" ca="1" si="12"/>
        <v>44742</v>
      </c>
      <c r="I26" s="54">
        <f t="shared" ca="1" si="13"/>
        <v>2</v>
      </c>
      <c r="J26" s="54" t="str">
        <f t="shared" ca="1" si="14"/>
        <v/>
      </c>
      <c r="K26" s="54"/>
      <c r="L26" s="54"/>
      <c r="M26" s="54"/>
      <c r="N26" s="54"/>
      <c r="O26" s="54"/>
      <c r="P26" s="54"/>
      <c r="Q26" s="54"/>
      <c r="R26" s="54"/>
      <c r="S26" s="54"/>
    </row>
    <row r="27" spans="1:19">
      <c r="A27" s="106">
        <v>447</v>
      </c>
      <c r="B27" s="227" t="str">
        <f ca="1">VLOOKUP( $A27, Aop!$A$2:$P$456, 2, 0)</f>
        <v>BPK</v>
      </c>
      <c r="C27" s="54" t="str">
        <f t="shared" ca="1" si="8"/>
        <v>01111329</v>
      </c>
      <c r="D27" s="54" t="str">
        <f t="shared" ca="1" si="9"/>
        <v>4400692320002</v>
      </c>
      <c r="E27" s="54" t="b">
        <f t="shared" ca="1" si="10"/>
        <v>0</v>
      </c>
      <c r="F27" s="11">
        <f ca="1">VLOOKUP( $A27, Aop!$A$2:$P$456, 4, 0)</f>
        <v>919</v>
      </c>
      <c r="G27" s="54">
        <f t="shared" ca="1" si="11"/>
        <v>2022</v>
      </c>
      <c r="H27" s="226">
        <f t="shared" ca="1" si="12"/>
        <v>44742</v>
      </c>
      <c r="I27" s="54">
        <f t="shared" ca="1" si="13"/>
        <v>2</v>
      </c>
      <c r="J27" s="54">
        <f t="shared" ca="1" si="14"/>
        <v>0</v>
      </c>
      <c r="K27" s="54"/>
      <c r="L27" s="54"/>
      <c r="M27" s="54"/>
      <c r="N27" s="54"/>
      <c r="O27" s="54"/>
      <c r="P27" s="54"/>
      <c r="Q27" s="54"/>
      <c r="R27" s="54"/>
      <c r="S27" s="54"/>
    </row>
    <row r="28" spans="1:19">
      <c r="A28" s="106">
        <v>448</v>
      </c>
      <c r="B28" s="227" t="str">
        <f ca="1">VLOOKUP( $A28, Aop!$A$2:$P$456, 2, 0)</f>
        <v>BPK</v>
      </c>
      <c r="C28" s="54" t="str">
        <f t="shared" ca="1" si="8"/>
        <v>01111329</v>
      </c>
      <c r="D28" s="54" t="str">
        <f t="shared" ca="1" si="9"/>
        <v>4400692320002</v>
      </c>
      <c r="E28" s="54" t="b">
        <f t="shared" ca="1" si="10"/>
        <v>0</v>
      </c>
      <c r="F28" s="11">
        <f ca="1">VLOOKUP( $A28, Aop!$A$2:$P$456, 4, 0)</f>
        <v>0</v>
      </c>
      <c r="G28" s="54">
        <f t="shared" ca="1" si="11"/>
        <v>2022</v>
      </c>
      <c r="H28" s="226">
        <f t="shared" ca="1" si="12"/>
        <v>44742</v>
      </c>
      <c r="I28" s="54">
        <f t="shared" ca="1" si="13"/>
        <v>2</v>
      </c>
      <c r="J28" s="54" t="str">
        <f t="shared" ca="1" si="14"/>
        <v/>
      </c>
      <c r="K28" s="54"/>
      <c r="L28" s="54"/>
      <c r="M28" s="54"/>
      <c r="N28" s="54"/>
      <c r="O28" s="54"/>
      <c r="P28" s="54"/>
      <c r="Q28" s="54"/>
      <c r="R28" s="54"/>
      <c r="S28" s="54"/>
    </row>
    <row r="29" spans="1:19">
      <c r="A29" s="106">
        <v>449</v>
      </c>
      <c r="B29" s="227" t="str">
        <f ca="1">VLOOKUP( $A29, Aop!$A$2:$P$456, 2, 0)</f>
        <v>BPK</v>
      </c>
      <c r="C29" s="54" t="str">
        <f t="shared" ca="1" si="8"/>
        <v>01111329</v>
      </c>
      <c r="D29" s="54" t="str">
        <f t="shared" ca="1" si="9"/>
        <v>4400692320002</v>
      </c>
      <c r="E29" s="54" t="b">
        <f t="shared" ca="1" si="10"/>
        <v>0</v>
      </c>
      <c r="F29" s="11">
        <f ca="1">VLOOKUP( $A29, Aop!$A$2:$P$456, 4, 0)</f>
        <v>920</v>
      </c>
      <c r="G29" s="54">
        <f t="shared" ca="1" si="11"/>
        <v>2022</v>
      </c>
      <c r="H29" s="226">
        <f t="shared" ca="1" si="12"/>
        <v>44742</v>
      </c>
      <c r="I29" s="54">
        <f t="shared" ca="1" si="13"/>
        <v>2</v>
      </c>
      <c r="J29" s="54" t="str">
        <f t="shared" ca="1" si="14"/>
        <v/>
      </c>
      <c r="K29" s="54"/>
      <c r="L29" s="54"/>
      <c r="M29" s="54"/>
      <c r="N29" s="54"/>
      <c r="O29" s="54"/>
      <c r="P29" s="54"/>
      <c r="Q29" s="54"/>
      <c r="R29" s="54"/>
      <c r="S29" s="54"/>
    </row>
    <row r="30" spans="1:19">
      <c r="A30" s="106">
        <v>450</v>
      </c>
      <c r="B30" s="227" t="str">
        <f ca="1">VLOOKUP( $A30, Aop!$A$2:$P$456, 2, 0)</f>
        <v>BPK</v>
      </c>
      <c r="C30" s="54" t="str">
        <f t="shared" ca="1" si="8"/>
        <v>01111329</v>
      </c>
      <c r="D30" s="54" t="str">
        <f t="shared" ca="1" si="9"/>
        <v>4400692320002</v>
      </c>
      <c r="E30" s="54" t="b">
        <f t="shared" ca="1" si="10"/>
        <v>0</v>
      </c>
      <c r="F30" s="11">
        <f ca="1">VLOOKUP( $A30, Aop!$A$2:$P$456, 4, 0)</f>
        <v>921</v>
      </c>
      <c r="G30" s="54">
        <f t="shared" ca="1" si="11"/>
        <v>2022</v>
      </c>
      <c r="H30" s="226">
        <f t="shared" ca="1" si="12"/>
        <v>44742</v>
      </c>
      <c r="I30" s="54">
        <f t="shared" ca="1" si="13"/>
        <v>2</v>
      </c>
      <c r="J30" s="54" t="str">
        <f t="shared" ca="1" si="14"/>
        <v/>
      </c>
      <c r="K30" s="54"/>
      <c r="L30" s="54"/>
      <c r="M30" s="54"/>
      <c r="N30" s="54"/>
      <c r="O30" s="54"/>
      <c r="P30" s="54"/>
      <c r="Q30" s="54"/>
      <c r="R30" s="54"/>
      <c r="S30" s="54"/>
    </row>
    <row r="31" spans="1:19">
      <c r="A31" s="106">
        <v>451</v>
      </c>
      <c r="B31" s="227" t="str">
        <f ca="1">VLOOKUP( $A31, Aop!$A$2:$P$456, 2, 0)</f>
        <v>BPK</v>
      </c>
      <c r="C31" s="54" t="str">
        <f t="shared" ca="1" si="8"/>
        <v>01111329</v>
      </c>
      <c r="D31" s="54" t="str">
        <f t="shared" ca="1" si="9"/>
        <v>4400692320002</v>
      </c>
      <c r="E31" s="54" t="b">
        <f t="shared" ca="1" si="10"/>
        <v>0</v>
      </c>
      <c r="F31" s="11">
        <f ca="1">VLOOKUP( $A31, Aop!$A$2:$P$456, 4, 0)</f>
        <v>922</v>
      </c>
      <c r="G31" s="54">
        <f t="shared" ca="1" si="11"/>
        <v>2022</v>
      </c>
      <c r="H31" s="226">
        <f t="shared" ca="1" si="12"/>
        <v>44742</v>
      </c>
      <c r="I31" s="54">
        <f t="shared" ca="1" si="13"/>
        <v>2</v>
      </c>
      <c r="J31" s="54" t="str">
        <f t="shared" ca="1" si="14"/>
        <v/>
      </c>
      <c r="K31" s="54"/>
      <c r="L31" s="54"/>
      <c r="M31" s="54"/>
      <c r="N31" s="54"/>
      <c r="O31" s="54"/>
      <c r="P31" s="54"/>
      <c r="Q31" s="54"/>
      <c r="R31" s="54"/>
      <c r="S31" s="54"/>
    </row>
    <row r="32" spans="1:19">
      <c r="A32" s="106">
        <v>452</v>
      </c>
      <c r="B32" s="227" t="str">
        <f ca="1">VLOOKUP( $A32, Aop!$A$2:$P$456, 2, 0)</f>
        <v>BPK</v>
      </c>
      <c r="C32" s="54" t="str">
        <f t="shared" ca="1" si="8"/>
        <v>01111329</v>
      </c>
      <c r="D32" s="54" t="str">
        <f t="shared" ca="1" si="9"/>
        <v>4400692320002</v>
      </c>
      <c r="E32" s="54" t="b">
        <f t="shared" ca="1" si="10"/>
        <v>0</v>
      </c>
      <c r="F32" s="11">
        <f ca="1">VLOOKUP( $A32, Aop!$A$2:$P$456, 4, 0)</f>
        <v>923</v>
      </c>
      <c r="G32" s="54">
        <f t="shared" ca="1" si="11"/>
        <v>2022</v>
      </c>
      <c r="H32" s="226">
        <f t="shared" ca="1" si="12"/>
        <v>44742</v>
      </c>
      <c r="I32" s="54">
        <f t="shared" ca="1" si="13"/>
        <v>2</v>
      </c>
      <c r="J32" s="54" t="str">
        <f t="shared" ca="1" si="14"/>
        <v/>
      </c>
      <c r="K32" s="54"/>
      <c r="L32" s="54"/>
      <c r="M32" s="54"/>
      <c r="N32" s="54"/>
      <c r="O32" s="54"/>
      <c r="P32" s="54"/>
      <c r="Q32" s="54"/>
      <c r="R32" s="54"/>
      <c r="S32" s="54"/>
    </row>
    <row r="33" spans="1:19">
      <c r="A33" s="106">
        <v>453</v>
      </c>
      <c r="B33" s="227" t="str">
        <f ca="1">VLOOKUP( $A33, Aop!$A$2:$P$456, 2, 0)</f>
        <v>BPK</v>
      </c>
      <c r="C33" s="54" t="str">
        <f t="shared" ca="1" si="8"/>
        <v>01111329</v>
      </c>
      <c r="D33" s="54" t="str">
        <f t="shared" ca="1" si="9"/>
        <v>4400692320002</v>
      </c>
      <c r="E33" s="54" t="b">
        <f t="shared" ca="1" si="10"/>
        <v>0</v>
      </c>
      <c r="F33" s="11">
        <f ca="1">VLOOKUP( $A33, Aop!$A$2:$P$456, 4, 0)</f>
        <v>924</v>
      </c>
      <c r="G33" s="54">
        <f t="shared" ca="1" si="11"/>
        <v>2022</v>
      </c>
      <c r="H33" s="226">
        <f t="shared" ca="1" si="12"/>
        <v>44742</v>
      </c>
      <c r="I33" s="54">
        <f t="shared" ca="1" si="13"/>
        <v>2</v>
      </c>
      <c r="J33" s="54" t="str">
        <f t="shared" ca="1" si="14"/>
        <v/>
      </c>
      <c r="K33" s="54"/>
      <c r="L33" s="54"/>
      <c r="M33" s="54"/>
      <c r="N33" s="54"/>
      <c r="O33" s="54"/>
      <c r="P33" s="54"/>
      <c r="Q33" s="54"/>
      <c r="R33" s="54"/>
      <c r="S33" s="54"/>
    </row>
    <row r="34" spans="1:19">
      <c r="A34" s="106">
        <v>454</v>
      </c>
      <c r="B34" s="227" t="str">
        <f ca="1">VLOOKUP( $A34, Aop!$A$2:$P$456, 2, 0)</f>
        <v>BPK</v>
      </c>
      <c r="C34" s="54" t="str">
        <f t="shared" ca="1" si="8"/>
        <v>01111329</v>
      </c>
      <c r="D34" s="54" t="str">
        <f t="shared" ca="1" si="9"/>
        <v>4400692320002</v>
      </c>
      <c r="E34" s="54" t="b">
        <f t="shared" ca="1" si="10"/>
        <v>0</v>
      </c>
      <c r="F34" s="11">
        <f ca="1">VLOOKUP( $A34, Aop!$A$2:$P$456, 4, 0)</f>
        <v>0</v>
      </c>
      <c r="G34" s="54">
        <f t="shared" ca="1" si="11"/>
        <v>2022</v>
      </c>
      <c r="H34" s="226">
        <f t="shared" ca="1" si="12"/>
        <v>44742</v>
      </c>
      <c r="I34" s="54">
        <f t="shared" ca="1" si="13"/>
        <v>2</v>
      </c>
      <c r="J34" s="54" t="str">
        <f t="shared" ca="1" si="14"/>
        <v/>
      </c>
      <c r="K34" s="54"/>
      <c r="L34" s="54"/>
      <c r="M34" s="54"/>
      <c r="N34" s="54"/>
      <c r="O34" s="54"/>
      <c r="P34" s="54"/>
      <c r="Q34" s="54"/>
      <c r="R34" s="54"/>
      <c r="S34" s="54"/>
    </row>
    <row r="35" spans="1:19">
      <c r="A35" s="106">
        <v>455</v>
      </c>
      <c r="B35" s="227" t="str">
        <f ca="1">VLOOKUP( $A35, Aop!$A$2:$P$456, 2, 0)</f>
        <v>BPK</v>
      </c>
      <c r="C35" s="54" t="str">
        <f ca="1">Podatak_MB</f>
        <v>01111329</v>
      </c>
      <c r="D35" s="54" t="str">
        <f ca="1">Podatak_JIB</f>
        <v>4400692320002</v>
      </c>
      <c r="E35" s="54" t="b">
        <f ca="1">Konsolidovan_izvjestaj</f>
        <v>0</v>
      </c>
      <c r="F35" s="11">
        <f ca="1">VLOOKUP( $A35, Aop!$A$2:$P$456, 4, 0)</f>
        <v>925</v>
      </c>
      <c r="G35" s="54">
        <f ca="1">Godina</f>
        <v>2022</v>
      </c>
      <c r="H35" s="226">
        <f ca="1">Datum_Broj</f>
        <v>44742</v>
      </c>
      <c r="I35" s="54">
        <f ca="1">ID_Izvjestaj</f>
        <v>2</v>
      </c>
      <c r="J35" s="54">
        <f t="shared" ref="J35:S35" ca="1" si="15">IF(VLOOKUP($F35,INDIRECT("Lookup_"&amp;$B35),J$1-1,0)="","",VLOOKUP($F35,INDIRECT("Lookup_"&amp;$B35),J$1-1,0))</f>
        <v>50777428</v>
      </c>
      <c r="K35" s="54">
        <f t="shared" ca="1" si="15"/>
        <v>0</v>
      </c>
      <c r="L35" s="54">
        <f t="shared" ca="1" si="15"/>
        <v>873001</v>
      </c>
      <c r="M35" s="54">
        <f t="shared" ca="1" si="15"/>
        <v>0</v>
      </c>
      <c r="N35" s="54">
        <f t="shared" ca="1" si="15"/>
        <v>0</v>
      </c>
      <c r="O35" s="54">
        <f t="shared" ca="1" si="15"/>
        <v>938788</v>
      </c>
      <c r="P35" s="54">
        <f t="shared" ca="1" si="15"/>
        <v>18856698</v>
      </c>
      <c r="Q35" s="54">
        <f t="shared" ca="1" si="15"/>
        <v>71445915</v>
      </c>
      <c r="R35" s="54">
        <f t="shared" ca="1" si="15"/>
        <v>0</v>
      </c>
      <c r="S35" s="54">
        <f t="shared" ca="1" si="15"/>
        <v>71445915</v>
      </c>
    </row>
  </sheetData>
  <sheetProtection sheet="1" objects="1" scenarios="1"/>
  <phoneticPr fontId="25"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sheetPr codeName="Sheet1">
    <tabColor theme="9"/>
  </sheetPr>
  <dimension ref="B1:V445"/>
  <sheetViews>
    <sheetView showGridLines="0" showRowColHeaders="0" topLeftCell="B1" zoomScale="115" zoomScaleNormal="115" zoomScaleSheetLayoutView="100" workbookViewId="0">
      <pane ySplit="1" topLeftCell="A2" activePane="bottomLeft" state="frozen"/>
      <selection pane="bottomLeft" activeCell="G8" sqref="G8"/>
    </sheetView>
  </sheetViews>
  <sheetFormatPr defaultRowHeight="12.75"/>
  <cols>
    <col min="1" max="1" width="9.140625" style="8"/>
    <col min="2" max="2" width="8.42578125" style="8" customWidth="1"/>
    <col min="3" max="3" width="5.7109375" style="8" customWidth="1"/>
    <col min="4" max="10" width="9.5703125" style="8" customWidth="1"/>
    <col min="11" max="12" width="10.5703125" style="8" customWidth="1"/>
    <col min="13" max="13" width="9.85546875" style="8" customWidth="1"/>
    <col min="14" max="14" width="10.5703125" style="8" hidden="1" customWidth="1"/>
    <col min="15" max="15" width="10.42578125" style="8" hidden="1" customWidth="1"/>
    <col min="16" max="16" width="12.42578125" style="8" bestFit="1" customWidth="1"/>
    <col min="17" max="17" width="8.5703125" style="8" bestFit="1" customWidth="1"/>
    <col min="18" max="18" width="13.140625" style="8" bestFit="1" customWidth="1"/>
    <col min="19" max="19" width="13.28515625" style="8" bestFit="1" customWidth="1"/>
    <col min="20" max="16384" width="9.140625" style="8"/>
  </cols>
  <sheetData>
    <row r="1" spans="2:22" ht="29.25" customHeight="1">
      <c r="B1" s="172" t="s">
        <v>2887</v>
      </c>
      <c r="C1" s="172" t="s">
        <v>1478</v>
      </c>
      <c r="D1" s="172" t="s">
        <v>2888</v>
      </c>
      <c r="E1" s="172" t="s">
        <v>2889</v>
      </c>
      <c r="F1" s="172" t="s">
        <v>2890</v>
      </c>
      <c r="G1" s="172" t="s">
        <v>2891</v>
      </c>
      <c r="H1" s="172" t="s">
        <v>2892</v>
      </c>
      <c r="I1" s="172" t="s">
        <v>2893</v>
      </c>
      <c r="J1" s="172" t="s">
        <v>2894</v>
      </c>
      <c r="K1" s="172" t="s">
        <v>2895</v>
      </c>
      <c r="L1" s="172" t="s">
        <v>202</v>
      </c>
      <c r="M1" s="172" t="s">
        <v>203</v>
      </c>
      <c r="N1" s="172" t="s">
        <v>288</v>
      </c>
      <c r="O1" s="172" t="s">
        <v>2371</v>
      </c>
      <c r="P1" s="233" t="s">
        <v>18</v>
      </c>
    </row>
    <row r="2" spans="2:22">
      <c r="B2" s="44">
        <f ca="1">VLOOKUP( APIF_Import!$O2, Podesavanja!$N$3:$Q$9, 4, 0)</f>
        <v>1</v>
      </c>
      <c r="C2" s="229">
        <f ca="1">VLOOKUP( APIF_Import!$N2, Aop!$A$2:$P$456, 4, 0)</f>
        <v>1</v>
      </c>
      <c r="D2" s="230" t="str">
        <f ca="1">IF( ISNA( VLOOKUP( APIF_Import!$O2 &amp; APIF_Import!$D$1,Podesavanja!$AA$3:$AD$28, 4, 0)), "", SUBSTITUTE( VALUE( VLOOKUP( APIF_Import!$C2, INDIRECT( "Lookup_" &amp; APIF_Import!$O2), VLOOKUP( APIF_Import!$O2 &amp; APIF_Import!$D$1,Podesavanja!$AA$3:$AD$28, 4, 0), 0)), ".", ","))</f>
        <v>149965275</v>
      </c>
      <c r="E2" s="230">
        <f ca="1">IF( ISNA( VLOOKUP( APIF_Import!$O2 &amp; APIF_Import!$E$1,Podesavanja!$AA$3:$AD$28, 4, 0)), "", VLOOKUP( APIF_Import!$C2, INDIRECT( "Lookup_" &amp; APIF_Import!$O2), VLOOKUP( APIF_Import!$O2 &amp; APIF_Import!$E$1,Podesavanja!$AA$3:$AD$28, 4, 0), 0))</f>
        <v>96985911</v>
      </c>
      <c r="F2" s="230">
        <f ca="1">IF( ISNA( VLOOKUP( APIF_Import!$O2 &amp; APIF_Import!$F$1,Podesavanja!$AA$3:$AD$28, 4, 0)), "", VLOOKUP( APIF_Import!$C2, INDIRECT( "Lookup_" &amp; APIF_Import!$O2), VLOOKUP( APIF_Import!$O2 &amp; APIF_Import!$F$1,Podesavanja!$AA$3:$AD$28, 4, 0), 0))</f>
        <v>52979364</v>
      </c>
      <c r="G2" s="230">
        <f ca="1">IF( ISNA( VLOOKUP( APIF_Import!$O2 &amp; APIF_Import!$G$1,Podesavanja!$AA$3:$AD$28, 4, 0)), "", VLOOKUP( APIF_Import!$C2, INDIRECT( "Lookup_" &amp; APIF_Import!$O2), VLOOKUP( APIF_Import!$O2 &amp; APIF_Import!$G$1,Podesavanja!$AA$3:$AD$28, 4, 0), 0))</f>
        <v>66663579</v>
      </c>
      <c r="H2" s="230" t="str">
        <f ca="1">IF( ISNA( VLOOKUP( APIF_Import!$O2 &amp; APIF_Import!$H$1,Podesavanja!$AA$3:$AD$28, 4, 0)), "", VLOOKUP( APIF_Import!$C2, INDIRECT( "Lookup_" &amp; APIF_Import!$O2), VLOOKUP( APIF_Import!$O2 &amp; APIF_Import!$H$1,Podesavanja!$AA$3:$AD$28, 4, 0), 0))</f>
        <v/>
      </c>
      <c r="I2" s="230" t="str">
        <f ca="1">IF( ISNA( VLOOKUP( APIF_Import!$O2 &amp; APIF_Import!$I$1,Podesavanja!$AA$3:$AD$28, 4, 0)), "", VLOOKUP( APIF_Import!$C2, INDIRECT( "Lookup_" &amp; APIF_Import!$M2:$O2), VLOOKUP( APIF_Import!$O2 &amp; APIF_Import!$I$1,Podesavanja!$AA$3:$AD$28, 4, 0), 0))</f>
        <v/>
      </c>
      <c r="J2" s="230" t="str">
        <f ca="1">IF( ISNA( VLOOKUP( APIF_Import!$O2 &amp; APIF_Import!$J$1,Podesavanja!$AA$3:$AD$28, 4, 0)), "", VLOOKUP( APIF_Import!$C2, INDIRECT( "Lookup_" &amp; APIF_Import!$M2:$O2), VLOOKUP( APIF_Import!$O2 &amp; APIF_Import!$J$1,Podesavanja!$AA$3:$AD$28, 4, 0), 0))</f>
        <v/>
      </c>
      <c r="K2" s="230" t="str">
        <f ca="1">IF( ISNA( VLOOKUP( APIF_Import!$O2 &amp; APIF_Import!$K$1,Podesavanja!$AA$3:$AD$28, 4, 0)), "", VLOOKUP( APIF_Import!$C2, INDIRECT( "Lookup_" &amp; APIF_Import!$M2:$O2), VLOOKUP( APIF_Import!$O2 &amp; APIF_Import!$K$1,Podesavanja!$AA$3:$AD$28, 4, 0), 0))</f>
        <v/>
      </c>
      <c r="L2" s="230" t="str">
        <f ca="1">IF( ISNA( VLOOKUP( APIF_Import!$O2 &amp; APIF_Import!$L$1,Podesavanja!$AA$3:$AD$28, 4, 0)), "", VLOOKUP( APIF_Import!$C2, INDIRECT( "Lookup_" &amp; APIF_Import!$M2:$O2), VLOOKUP( APIF_Import!$O2 &amp; APIF_Import!$L$1,Podesavanja!$AA$3:$AD$28, 4, 0), 0))</f>
        <v/>
      </c>
      <c r="M2" s="230" t="str">
        <f ca="1">IF( ISNA( VLOOKUP( APIF_Import!$O2 &amp; APIF_Import!$M$1,Podesavanja!$AA$3:$AD$28, 4, 0)), "", VLOOKUP( APIF_Import!$C2, INDIRECT( "Lookup_" &amp; APIF_Import!$M2:$O2), VLOOKUP( APIF_Import!$O2 &amp; APIF_Import!$M$1,Podesavanja!$AA$3:$AD$28, 4, 0), 0))</f>
        <v/>
      </c>
      <c r="N2" s="8">
        <v>1</v>
      </c>
      <c r="O2" s="230" t="s">
        <v>2897</v>
      </c>
      <c r="P2" s="8" t="s">
        <v>2904</v>
      </c>
    </row>
    <row r="3" spans="2:22">
      <c r="B3" s="44">
        <f ca="1">VLOOKUP( APIF_Import!$O3, Podesavanja!$N$3:$Q$9, 4, 0)</f>
        <v>1</v>
      </c>
      <c r="C3" s="229">
        <f ca="1">VLOOKUP( APIF_Import!$N3, Aop!$A$2:$P$456, 4, 0)</f>
        <v>2</v>
      </c>
      <c r="D3" s="230" t="str">
        <f ca="1">IF( ISNA( VLOOKUP( APIF_Import!$O3 &amp; APIF_Import!$D$1,Podesavanja!$AA$3:$AD$28, 4, 0)), "", SUBSTITUTE( VALUE( VLOOKUP( APIF_Import!$C3, INDIRECT( "Lookup_" &amp; APIF_Import!$O3), VLOOKUP( APIF_Import!$O3 &amp; APIF_Import!$D$1,Podesavanja!$AA$3:$AD$28, 4, 0), 0)), ".", ","))</f>
        <v>1869827</v>
      </c>
      <c r="E3" s="230">
        <f ca="1">IF( ISNA( VLOOKUP( APIF_Import!$O3 &amp; APIF_Import!$E$1,Podesavanja!$AA$3:$AD$28, 4, 0)), "", VLOOKUP( APIF_Import!$C3, INDIRECT( "Lookup_" &amp; APIF_Import!$O3), VLOOKUP( APIF_Import!$O3 &amp; APIF_Import!$E$1,Podesavanja!$AA$3:$AD$28, 4, 0), 0))</f>
        <v>1174712</v>
      </c>
      <c r="F3" s="230">
        <f ca="1">IF( ISNA( VLOOKUP( APIF_Import!$O3 &amp; APIF_Import!$F$1,Podesavanja!$AA$3:$AD$28, 4, 0)), "", VLOOKUP( APIF_Import!$C3, INDIRECT( "Lookup_" &amp; APIF_Import!$O3), VLOOKUP( APIF_Import!$O3 &amp; APIF_Import!$F$1,Podesavanja!$AA$3:$AD$28, 4, 0), 0))</f>
        <v>695115</v>
      </c>
      <c r="G3" s="230">
        <f ca="1">IF( ISNA( VLOOKUP( APIF_Import!$O3 &amp; APIF_Import!$G$1,Podesavanja!$AA$3:$AD$28, 4, 0)), "", VLOOKUP( APIF_Import!$C3, INDIRECT( "Lookup_" &amp; APIF_Import!$O3), VLOOKUP( APIF_Import!$O3 &amp; APIF_Import!$G$1,Podesavanja!$AA$3:$AD$28, 4, 0), 0))</f>
        <v>729772</v>
      </c>
      <c r="H3" s="230" t="str">
        <f ca="1">IF( ISNA( VLOOKUP( APIF_Import!$O3 &amp; APIF_Import!$H$1,Podesavanja!$AA$3:$AD$28, 4, 0)), "", VLOOKUP( APIF_Import!$C3, INDIRECT( "Lookup_" &amp; APIF_Import!$O3), VLOOKUP( APIF_Import!$O3 &amp; APIF_Import!$H$1,Podesavanja!$AA$3:$AD$28, 4, 0), 0))</f>
        <v/>
      </c>
      <c r="I3" s="230" t="str">
        <f ca="1">IF( ISNA( VLOOKUP( APIF_Import!$O3 &amp; APIF_Import!$I$1,Podesavanja!$AA$3:$AD$28, 4, 0)), "", VLOOKUP( APIF_Import!$C3, INDIRECT( "Lookup_" &amp; APIF_Import!$M3:$O3), VLOOKUP( APIF_Import!$O3 &amp; APIF_Import!$I$1,Podesavanja!$AA$3:$AD$28, 4, 0), 0))</f>
        <v/>
      </c>
      <c r="J3" s="230" t="str">
        <f ca="1">IF( ISNA( VLOOKUP( APIF_Import!$O3 &amp; APIF_Import!$J$1,Podesavanja!$AA$3:$AD$28, 4, 0)), "", VLOOKUP( APIF_Import!$C3, INDIRECT( "Lookup_" &amp; APIF_Import!$M3:$O3), VLOOKUP( APIF_Import!$O3 &amp; APIF_Import!$J$1,Podesavanja!$AA$3:$AD$28, 4, 0), 0))</f>
        <v/>
      </c>
      <c r="K3" s="230" t="str">
        <f ca="1">IF( ISNA( VLOOKUP( APIF_Import!$O3 &amp; APIF_Import!$K$1,Podesavanja!$AA$3:$AD$28, 4, 0)), "", VLOOKUP( APIF_Import!$C3, INDIRECT( "Lookup_" &amp; APIF_Import!$M3:$O3), VLOOKUP( APIF_Import!$O3 &amp; APIF_Import!$K$1,Podesavanja!$AA$3:$AD$28, 4, 0), 0))</f>
        <v/>
      </c>
      <c r="L3" s="230" t="str">
        <f ca="1">IF( ISNA( VLOOKUP( APIF_Import!$O3 &amp; APIF_Import!$L$1,Podesavanja!$AA$3:$AD$28, 4, 0)), "", VLOOKUP( APIF_Import!$C3, INDIRECT( "Lookup_" &amp; APIF_Import!$M3:$O3), VLOOKUP( APIF_Import!$O3 &amp; APIF_Import!$L$1,Podesavanja!$AA$3:$AD$28, 4, 0), 0))</f>
        <v/>
      </c>
      <c r="M3" s="230" t="str">
        <f ca="1">IF( ISNA( VLOOKUP( APIF_Import!$O3 &amp; APIF_Import!$M$1,Podesavanja!$AA$3:$AD$28, 4, 0)), "", VLOOKUP( APIF_Import!$C3, INDIRECT( "Lookup_" &amp; APIF_Import!$M3:$O3), VLOOKUP( APIF_Import!$O3 &amp; APIF_Import!$M$1,Podesavanja!$AA$3:$AD$28, 4, 0), 0))</f>
        <v/>
      </c>
      <c r="N3" s="8">
        <v>2</v>
      </c>
      <c r="O3" s="230" t="s">
        <v>2897</v>
      </c>
    </row>
    <row r="4" spans="2:22">
      <c r="B4" s="44">
        <f ca="1">VLOOKUP( APIF_Import!$O4, Podesavanja!$N$3:$Q$9, 4, 0)</f>
        <v>1</v>
      </c>
      <c r="C4" s="229">
        <f ca="1">VLOOKUP( APIF_Import!$N4, Aop!$A$2:$P$456, 4, 0)</f>
        <v>3</v>
      </c>
      <c r="D4" s="230" t="str">
        <f ca="1">IF( ISNA( VLOOKUP( APIF_Import!$O4 &amp; APIF_Import!$D$1,Podesavanja!$AA$3:$AD$28, 4, 0)), "", SUBSTITUTE( VALUE( VLOOKUP( APIF_Import!$C4, INDIRECT( "Lookup_" &amp; APIF_Import!$O4), VLOOKUP( APIF_Import!$O4 &amp; APIF_Import!$D$1,Podesavanja!$AA$3:$AD$28, 4, 0), 0)), ".", ","))</f>
        <v>0</v>
      </c>
      <c r="E4" s="230">
        <f ca="1">IF( ISNA( VLOOKUP( APIF_Import!$O4 &amp; APIF_Import!$E$1,Podesavanja!$AA$3:$AD$28, 4, 0)), "", VLOOKUP( APIF_Import!$C4, INDIRECT( "Lookup_" &amp; APIF_Import!$O4), VLOOKUP( APIF_Import!$O4 &amp; APIF_Import!$E$1,Podesavanja!$AA$3:$AD$28, 4, 0), 0))</f>
        <v>0</v>
      </c>
      <c r="F4" s="230">
        <f ca="1">IF( ISNA( VLOOKUP( APIF_Import!$O4 &amp; APIF_Import!$F$1,Podesavanja!$AA$3:$AD$28, 4, 0)), "", VLOOKUP( APIF_Import!$C4, INDIRECT( "Lookup_" &amp; APIF_Import!$O4), VLOOKUP( APIF_Import!$O4 &amp; APIF_Import!$F$1,Podesavanja!$AA$3:$AD$28, 4, 0), 0))</f>
        <v>0</v>
      </c>
      <c r="G4" s="230">
        <f ca="1">IF( ISNA( VLOOKUP( APIF_Import!$O4 &amp; APIF_Import!$G$1,Podesavanja!$AA$3:$AD$28, 4, 0)), "", VLOOKUP( APIF_Import!$C4, INDIRECT( "Lookup_" &amp; APIF_Import!$O4), VLOOKUP( APIF_Import!$O4 &amp; APIF_Import!$G$1,Podesavanja!$AA$3:$AD$28, 4, 0), 0))</f>
        <v>0</v>
      </c>
      <c r="H4" s="230" t="str">
        <f ca="1">IF( ISNA( VLOOKUP( APIF_Import!$O4 &amp; APIF_Import!$H$1,Podesavanja!$AA$3:$AD$28, 4, 0)), "", VLOOKUP( APIF_Import!$C4, INDIRECT( "Lookup_" &amp; APIF_Import!$O4), VLOOKUP( APIF_Import!$O4 &amp; APIF_Import!$H$1,Podesavanja!$AA$3:$AD$28, 4, 0), 0))</f>
        <v/>
      </c>
      <c r="I4" s="230" t="str">
        <f ca="1">IF( ISNA( VLOOKUP( APIF_Import!$O4 &amp; APIF_Import!$I$1,Podesavanja!$AA$3:$AD$28, 4, 0)), "", VLOOKUP( APIF_Import!$C4, INDIRECT( "Lookup_" &amp; APIF_Import!$M4:$O4), VLOOKUP( APIF_Import!$O4 &amp; APIF_Import!$I$1,Podesavanja!$AA$3:$AD$28, 4, 0), 0))</f>
        <v/>
      </c>
      <c r="J4" s="230" t="str">
        <f ca="1">IF( ISNA( VLOOKUP( APIF_Import!$O4 &amp; APIF_Import!$J$1,Podesavanja!$AA$3:$AD$28, 4, 0)), "", VLOOKUP( APIF_Import!$C4, INDIRECT( "Lookup_" &amp; APIF_Import!$M4:$O4), VLOOKUP( APIF_Import!$O4 &amp; APIF_Import!$J$1,Podesavanja!$AA$3:$AD$28, 4, 0), 0))</f>
        <v/>
      </c>
      <c r="K4" s="230" t="str">
        <f ca="1">IF( ISNA( VLOOKUP( APIF_Import!$O4 &amp; APIF_Import!$K$1,Podesavanja!$AA$3:$AD$28, 4, 0)), "", VLOOKUP( APIF_Import!$C4, INDIRECT( "Lookup_" &amp; APIF_Import!$M4:$O4), VLOOKUP( APIF_Import!$O4 &amp; APIF_Import!$K$1,Podesavanja!$AA$3:$AD$28, 4, 0), 0))</f>
        <v/>
      </c>
      <c r="L4" s="230" t="str">
        <f ca="1">IF( ISNA( VLOOKUP( APIF_Import!$O4 &amp; APIF_Import!$L$1,Podesavanja!$AA$3:$AD$28, 4, 0)), "", VLOOKUP( APIF_Import!$C4, INDIRECT( "Lookup_" &amp; APIF_Import!$M4:$O4), VLOOKUP( APIF_Import!$O4 &amp; APIF_Import!$L$1,Podesavanja!$AA$3:$AD$28, 4, 0), 0))</f>
        <v/>
      </c>
      <c r="M4" s="230" t="str">
        <f ca="1">IF( ISNA( VLOOKUP( APIF_Import!$O4 &amp; APIF_Import!$M$1,Podesavanja!$AA$3:$AD$28, 4, 0)), "", VLOOKUP( APIF_Import!$C4, INDIRECT( "Lookup_" &amp; APIF_Import!$M4:$O4), VLOOKUP( APIF_Import!$O4 &amp; APIF_Import!$M$1,Podesavanja!$AA$3:$AD$28, 4, 0), 0))</f>
        <v/>
      </c>
      <c r="N4" s="8">
        <v>3</v>
      </c>
      <c r="O4" s="230" t="s">
        <v>2897</v>
      </c>
    </row>
    <row r="5" spans="2:22">
      <c r="B5" s="44">
        <f ca="1">VLOOKUP( APIF_Import!$O5, Podesavanja!$N$3:$Q$9, 4, 0)</f>
        <v>1</v>
      </c>
      <c r="C5" s="229">
        <f ca="1">VLOOKUP( APIF_Import!$N5, Aop!$A$2:$P$456, 4, 0)</f>
        <v>4</v>
      </c>
      <c r="D5" s="230" t="str">
        <f ca="1">IF( ISNA( VLOOKUP( APIF_Import!$O5 &amp; APIF_Import!$D$1,Podesavanja!$AA$3:$AD$28, 4, 0)), "", SUBSTITUTE( VALUE( VLOOKUP( APIF_Import!$C5, INDIRECT( "Lookup_" &amp; APIF_Import!$O5), VLOOKUP( APIF_Import!$O5 &amp; APIF_Import!$D$1,Podesavanja!$AA$3:$AD$28, 4, 0), 0)), ".", ","))</f>
        <v>0</v>
      </c>
      <c r="E5" s="230">
        <f ca="1">IF( ISNA( VLOOKUP( APIF_Import!$O5 &amp; APIF_Import!$E$1,Podesavanja!$AA$3:$AD$28, 4, 0)), "", VLOOKUP( APIF_Import!$C5, INDIRECT( "Lookup_" &amp; APIF_Import!$O5), VLOOKUP( APIF_Import!$O5 &amp; APIF_Import!$E$1,Podesavanja!$AA$3:$AD$28, 4, 0), 0))</f>
        <v>0</v>
      </c>
      <c r="F5" s="230">
        <f ca="1">IF( ISNA( VLOOKUP( APIF_Import!$O5 &amp; APIF_Import!$F$1,Podesavanja!$AA$3:$AD$28, 4, 0)), "", VLOOKUP( APIF_Import!$C5, INDIRECT( "Lookup_" &amp; APIF_Import!$O5), VLOOKUP( APIF_Import!$O5 &amp; APIF_Import!$F$1,Podesavanja!$AA$3:$AD$28, 4, 0), 0))</f>
        <v>0</v>
      </c>
      <c r="G5" s="230">
        <f ca="1">IF( ISNA( VLOOKUP( APIF_Import!$O5 &amp; APIF_Import!$G$1,Podesavanja!$AA$3:$AD$28, 4, 0)), "", VLOOKUP( APIF_Import!$C5, INDIRECT( "Lookup_" &amp; APIF_Import!$O5), VLOOKUP( APIF_Import!$O5 &amp; APIF_Import!$G$1,Podesavanja!$AA$3:$AD$28, 4, 0), 0))</f>
        <v>0</v>
      </c>
      <c r="H5" s="230" t="str">
        <f ca="1">IF( ISNA( VLOOKUP( APIF_Import!$O5 &amp; APIF_Import!$H$1,Podesavanja!$AA$3:$AD$28, 4, 0)), "", VLOOKUP( APIF_Import!$C5, INDIRECT( "Lookup_" &amp; APIF_Import!$O5), VLOOKUP( APIF_Import!$O5 &amp; APIF_Import!$H$1,Podesavanja!$AA$3:$AD$28, 4, 0), 0))</f>
        <v/>
      </c>
      <c r="I5" s="230" t="str">
        <f ca="1">IF( ISNA( VLOOKUP( APIF_Import!$O5 &amp; APIF_Import!$I$1,Podesavanja!$AA$3:$AD$28, 4, 0)), "", VLOOKUP( APIF_Import!$C5, INDIRECT( "Lookup_" &amp; APIF_Import!$M5:$O5), VLOOKUP( APIF_Import!$O5 &amp; APIF_Import!$I$1,Podesavanja!$AA$3:$AD$28, 4, 0), 0))</f>
        <v/>
      </c>
      <c r="J5" s="230" t="str">
        <f ca="1">IF( ISNA( VLOOKUP( APIF_Import!$O5 &amp; APIF_Import!$J$1,Podesavanja!$AA$3:$AD$28, 4, 0)), "", VLOOKUP( APIF_Import!$C5, INDIRECT( "Lookup_" &amp; APIF_Import!$M5:$O5), VLOOKUP( APIF_Import!$O5 &amp; APIF_Import!$J$1,Podesavanja!$AA$3:$AD$28, 4, 0), 0))</f>
        <v/>
      </c>
      <c r="K5" s="230" t="str">
        <f ca="1">IF( ISNA( VLOOKUP( APIF_Import!$O5 &amp; APIF_Import!$K$1,Podesavanja!$AA$3:$AD$28, 4, 0)), "", VLOOKUP( APIF_Import!$C5, INDIRECT( "Lookup_" &amp; APIF_Import!$M5:$O5), VLOOKUP( APIF_Import!$O5 &amp; APIF_Import!$K$1,Podesavanja!$AA$3:$AD$28, 4, 0), 0))</f>
        <v/>
      </c>
      <c r="L5" s="230" t="str">
        <f ca="1">IF( ISNA( VLOOKUP( APIF_Import!$O5 &amp; APIF_Import!$L$1,Podesavanja!$AA$3:$AD$28, 4, 0)), "", VLOOKUP( APIF_Import!$C5, INDIRECT( "Lookup_" &amp; APIF_Import!$M5:$O5), VLOOKUP( APIF_Import!$O5 &amp; APIF_Import!$L$1,Podesavanja!$AA$3:$AD$28, 4, 0), 0))</f>
        <v/>
      </c>
      <c r="M5" s="230" t="str">
        <f ca="1">IF( ISNA( VLOOKUP( APIF_Import!$O5 &amp; APIF_Import!$M$1,Podesavanja!$AA$3:$AD$28, 4, 0)), "", VLOOKUP( APIF_Import!$C5, INDIRECT( "Lookup_" &amp; APIF_Import!$M5:$O5), VLOOKUP( APIF_Import!$O5 &amp; APIF_Import!$M$1,Podesavanja!$AA$3:$AD$28, 4, 0), 0))</f>
        <v/>
      </c>
      <c r="N5" s="8">
        <v>4</v>
      </c>
      <c r="O5" s="230" t="s">
        <v>2897</v>
      </c>
    </row>
    <row r="6" spans="2:22">
      <c r="B6" s="44">
        <f ca="1">VLOOKUP( APIF_Import!$O6, Podesavanja!$N$3:$Q$9, 4, 0)</f>
        <v>1</v>
      </c>
      <c r="C6" s="229">
        <f ca="1">VLOOKUP( APIF_Import!$N6, Aop!$A$2:$P$456, 4, 0)</f>
        <v>5</v>
      </c>
      <c r="D6" s="230" t="str">
        <f ca="1">IF( ISNA( VLOOKUP( APIF_Import!$O6 &amp; APIF_Import!$D$1,Podesavanja!$AA$3:$AD$28, 4, 0)), "", SUBSTITUTE( VALUE( VLOOKUP( APIF_Import!$C6, INDIRECT( "Lookup_" &amp; APIF_Import!$O6), VLOOKUP( APIF_Import!$O6 &amp; APIF_Import!$D$1,Podesavanja!$AA$3:$AD$28, 4, 0), 0)), ".", ","))</f>
        <v>0</v>
      </c>
      <c r="E6" s="230">
        <f ca="1">IF( ISNA( VLOOKUP( APIF_Import!$O6 &amp; APIF_Import!$E$1,Podesavanja!$AA$3:$AD$28, 4, 0)), "", VLOOKUP( APIF_Import!$C6, INDIRECT( "Lookup_" &amp; APIF_Import!$O6), VLOOKUP( APIF_Import!$O6 &amp; APIF_Import!$E$1,Podesavanja!$AA$3:$AD$28, 4, 0), 0))</f>
        <v>0</v>
      </c>
      <c r="F6" s="230">
        <f ca="1">IF( ISNA( VLOOKUP( APIF_Import!$O6 &amp; APIF_Import!$F$1,Podesavanja!$AA$3:$AD$28, 4, 0)), "", VLOOKUP( APIF_Import!$C6, INDIRECT( "Lookup_" &amp; APIF_Import!$O6), VLOOKUP( APIF_Import!$O6 &amp; APIF_Import!$F$1,Podesavanja!$AA$3:$AD$28, 4, 0), 0))</f>
        <v>0</v>
      </c>
      <c r="G6" s="230">
        <f ca="1">IF( ISNA( VLOOKUP( APIF_Import!$O6 &amp; APIF_Import!$G$1,Podesavanja!$AA$3:$AD$28, 4, 0)), "", VLOOKUP( APIF_Import!$C6, INDIRECT( "Lookup_" &amp; APIF_Import!$O6), VLOOKUP( APIF_Import!$O6 &amp; APIF_Import!$G$1,Podesavanja!$AA$3:$AD$28, 4, 0), 0))</f>
        <v>0</v>
      </c>
      <c r="H6" s="230" t="str">
        <f ca="1">IF( ISNA( VLOOKUP( APIF_Import!$O6 &amp; APIF_Import!$H$1,Podesavanja!$AA$3:$AD$28, 4, 0)), "", VLOOKUP( APIF_Import!$C6, INDIRECT( "Lookup_" &amp; APIF_Import!$O6), VLOOKUP( APIF_Import!$O6 &amp; APIF_Import!$H$1,Podesavanja!$AA$3:$AD$28, 4, 0), 0))</f>
        <v/>
      </c>
      <c r="I6" s="230" t="str">
        <f ca="1">IF( ISNA( VLOOKUP( APIF_Import!$O6 &amp; APIF_Import!$I$1,Podesavanja!$AA$3:$AD$28, 4, 0)), "", VLOOKUP( APIF_Import!$C6, INDIRECT( "Lookup_" &amp; APIF_Import!$M6:$O6), VLOOKUP( APIF_Import!$O6 &amp; APIF_Import!$I$1,Podesavanja!$AA$3:$AD$28, 4, 0), 0))</f>
        <v/>
      </c>
      <c r="J6" s="230" t="str">
        <f ca="1">IF( ISNA( VLOOKUP( APIF_Import!$O6 &amp; APIF_Import!$J$1,Podesavanja!$AA$3:$AD$28, 4, 0)), "", VLOOKUP( APIF_Import!$C6, INDIRECT( "Lookup_" &amp; APIF_Import!$M6:$O6), VLOOKUP( APIF_Import!$O6 &amp; APIF_Import!$J$1,Podesavanja!$AA$3:$AD$28, 4, 0), 0))</f>
        <v/>
      </c>
      <c r="K6" s="230" t="str">
        <f ca="1">IF( ISNA( VLOOKUP( APIF_Import!$O6 &amp; APIF_Import!$K$1,Podesavanja!$AA$3:$AD$28, 4, 0)), "", VLOOKUP( APIF_Import!$C6, INDIRECT( "Lookup_" &amp; APIF_Import!$M6:$O6), VLOOKUP( APIF_Import!$O6 &amp; APIF_Import!$K$1,Podesavanja!$AA$3:$AD$28, 4, 0), 0))</f>
        <v/>
      </c>
      <c r="L6" s="230" t="str">
        <f ca="1">IF( ISNA( VLOOKUP( APIF_Import!$O6 &amp; APIF_Import!$L$1,Podesavanja!$AA$3:$AD$28, 4, 0)), "", VLOOKUP( APIF_Import!$C6, INDIRECT( "Lookup_" &amp; APIF_Import!$M6:$O6), VLOOKUP( APIF_Import!$O6 &amp; APIF_Import!$L$1,Podesavanja!$AA$3:$AD$28, 4, 0), 0))</f>
        <v/>
      </c>
      <c r="M6" s="230" t="str">
        <f ca="1">IF( ISNA( VLOOKUP( APIF_Import!$O6 &amp; APIF_Import!$M$1,Podesavanja!$AA$3:$AD$28, 4, 0)), "", VLOOKUP( APIF_Import!$C6, INDIRECT( "Lookup_" &amp; APIF_Import!$M6:$O6), VLOOKUP( APIF_Import!$O6 &amp; APIF_Import!$M$1,Podesavanja!$AA$3:$AD$28, 4, 0), 0))</f>
        <v/>
      </c>
      <c r="N6" s="8">
        <v>5</v>
      </c>
      <c r="O6" s="230" t="s">
        <v>2897</v>
      </c>
    </row>
    <row r="7" spans="2:22">
      <c r="B7" s="44">
        <f ca="1">VLOOKUP( APIF_Import!$O7, Podesavanja!$N$3:$Q$9, 4, 0)</f>
        <v>1</v>
      </c>
      <c r="C7" s="229">
        <f ca="1">VLOOKUP( APIF_Import!$N7, Aop!$A$2:$P$456, 4, 0)</f>
        <v>6</v>
      </c>
      <c r="D7" s="230" t="str">
        <f ca="1">IF( ISNA( VLOOKUP( APIF_Import!$O7 &amp; APIF_Import!$D$1,Podesavanja!$AA$3:$AD$28, 4, 0)), "", SUBSTITUTE( VALUE( VLOOKUP( APIF_Import!$C7, INDIRECT( "Lookup_" &amp; APIF_Import!$O7), VLOOKUP( APIF_Import!$O7 &amp; APIF_Import!$D$1,Podesavanja!$AA$3:$AD$28, 4, 0), 0)), ".", ","))</f>
        <v>0</v>
      </c>
      <c r="E7" s="230">
        <f ca="1">IF( ISNA( VLOOKUP( APIF_Import!$O7 &amp; APIF_Import!$E$1,Podesavanja!$AA$3:$AD$28, 4, 0)), "", VLOOKUP( APIF_Import!$C7, INDIRECT( "Lookup_" &amp; APIF_Import!$O7), VLOOKUP( APIF_Import!$O7 &amp; APIF_Import!$E$1,Podesavanja!$AA$3:$AD$28, 4, 0), 0))</f>
        <v>0</v>
      </c>
      <c r="F7" s="230">
        <f ca="1">IF( ISNA( VLOOKUP( APIF_Import!$O7 &amp; APIF_Import!$F$1,Podesavanja!$AA$3:$AD$28, 4, 0)), "", VLOOKUP( APIF_Import!$C7, INDIRECT( "Lookup_" &amp; APIF_Import!$O7), VLOOKUP( APIF_Import!$O7 &amp; APIF_Import!$F$1,Podesavanja!$AA$3:$AD$28, 4, 0), 0))</f>
        <v>0</v>
      </c>
      <c r="G7" s="230">
        <f ca="1">IF( ISNA( VLOOKUP( APIF_Import!$O7 &amp; APIF_Import!$G$1,Podesavanja!$AA$3:$AD$28, 4, 0)), "", VLOOKUP( APIF_Import!$C7, INDIRECT( "Lookup_" &amp; APIF_Import!$O7), VLOOKUP( APIF_Import!$O7 &amp; APIF_Import!$G$1,Podesavanja!$AA$3:$AD$28, 4, 0), 0))</f>
        <v>0</v>
      </c>
      <c r="H7" s="230" t="str">
        <f ca="1">IF( ISNA( VLOOKUP( APIF_Import!$O7 &amp; APIF_Import!$H$1,Podesavanja!$AA$3:$AD$28, 4, 0)), "", VLOOKUP( APIF_Import!$C7, INDIRECT( "Lookup_" &amp; APIF_Import!$O7), VLOOKUP( APIF_Import!$O7 &amp; APIF_Import!$H$1,Podesavanja!$AA$3:$AD$28, 4, 0), 0))</f>
        <v/>
      </c>
      <c r="I7" s="230" t="str">
        <f ca="1">IF( ISNA( VLOOKUP( APIF_Import!$O7 &amp; APIF_Import!$I$1,Podesavanja!$AA$3:$AD$28, 4, 0)), "", VLOOKUP( APIF_Import!$C7, INDIRECT( "Lookup_" &amp; APIF_Import!$M7:$O7), VLOOKUP( APIF_Import!$O7 &amp; APIF_Import!$I$1,Podesavanja!$AA$3:$AD$28, 4, 0), 0))</f>
        <v/>
      </c>
      <c r="J7" s="230" t="str">
        <f ca="1">IF( ISNA( VLOOKUP( APIF_Import!$O7 &amp; APIF_Import!$J$1,Podesavanja!$AA$3:$AD$28, 4, 0)), "", VLOOKUP( APIF_Import!$C7, INDIRECT( "Lookup_" &amp; APIF_Import!$M7:$O7), VLOOKUP( APIF_Import!$O7 &amp; APIF_Import!$J$1,Podesavanja!$AA$3:$AD$28, 4, 0), 0))</f>
        <v/>
      </c>
      <c r="K7" s="230" t="str">
        <f ca="1">IF( ISNA( VLOOKUP( APIF_Import!$O7 &amp; APIF_Import!$K$1,Podesavanja!$AA$3:$AD$28, 4, 0)), "", VLOOKUP( APIF_Import!$C7, INDIRECT( "Lookup_" &amp; APIF_Import!$M7:$O7), VLOOKUP( APIF_Import!$O7 &amp; APIF_Import!$K$1,Podesavanja!$AA$3:$AD$28, 4, 0), 0))</f>
        <v/>
      </c>
      <c r="L7" s="230" t="str">
        <f ca="1">IF( ISNA( VLOOKUP( APIF_Import!$O7 &amp; APIF_Import!$L$1,Podesavanja!$AA$3:$AD$28, 4, 0)), "", VLOOKUP( APIF_Import!$C7, INDIRECT( "Lookup_" &amp; APIF_Import!$M7:$O7), VLOOKUP( APIF_Import!$O7 &amp; APIF_Import!$L$1,Podesavanja!$AA$3:$AD$28, 4, 0), 0))</f>
        <v/>
      </c>
      <c r="M7" s="230" t="str">
        <f ca="1">IF( ISNA( VLOOKUP( APIF_Import!$O7 &amp; APIF_Import!$M$1,Podesavanja!$AA$3:$AD$28, 4, 0)), "", VLOOKUP( APIF_Import!$C7, INDIRECT( "Lookup_" &amp; APIF_Import!$M7:$O7), VLOOKUP( APIF_Import!$O7 &amp; APIF_Import!$M$1,Podesavanja!$AA$3:$AD$28, 4, 0), 0))</f>
        <v/>
      </c>
      <c r="N7" s="8">
        <v>6</v>
      </c>
      <c r="O7" s="230" t="s">
        <v>2897</v>
      </c>
    </row>
    <row r="8" spans="2:22">
      <c r="B8" s="44">
        <f ca="1">VLOOKUP( APIF_Import!$O8, Podesavanja!$N$3:$Q$9, 4, 0)</f>
        <v>1</v>
      </c>
      <c r="C8" s="229">
        <f ca="1">VLOOKUP( APIF_Import!$N8, Aop!$A$2:$P$456, 4, 0)</f>
        <v>7</v>
      </c>
      <c r="D8" s="230" t="str">
        <f ca="1">IF( ISNA( VLOOKUP( APIF_Import!$O8 &amp; APIF_Import!$D$1,Podesavanja!$AA$3:$AD$28, 4, 0)), "", SUBSTITUTE( VALUE( VLOOKUP( APIF_Import!$C8, INDIRECT( "Lookup_" &amp; APIF_Import!$O8), VLOOKUP( APIF_Import!$O8 &amp; APIF_Import!$D$1,Podesavanja!$AA$3:$AD$28, 4, 0), 0)), ".", ","))</f>
        <v>1869827</v>
      </c>
      <c r="E8" s="230">
        <f ca="1">IF( ISNA( VLOOKUP( APIF_Import!$O8 &amp; APIF_Import!$E$1,Podesavanja!$AA$3:$AD$28, 4, 0)), "", VLOOKUP( APIF_Import!$C8, INDIRECT( "Lookup_" &amp; APIF_Import!$O8), VLOOKUP( APIF_Import!$O8 &amp; APIF_Import!$E$1,Podesavanja!$AA$3:$AD$28, 4, 0), 0))</f>
        <v>1174712</v>
      </c>
      <c r="F8" s="230">
        <f ca="1">IF( ISNA( VLOOKUP( APIF_Import!$O8 &amp; APIF_Import!$F$1,Podesavanja!$AA$3:$AD$28, 4, 0)), "", VLOOKUP( APIF_Import!$C8, INDIRECT( "Lookup_" &amp; APIF_Import!$O8), VLOOKUP( APIF_Import!$O8 &amp; APIF_Import!$F$1,Podesavanja!$AA$3:$AD$28, 4, 0), 0))</f>
        <v>695115</v>
      </c>
      <c r="G8" s="230">
        <f ca="1">IF( ISNA( VLOOKUP( APIF_Import!$O8 &amp; APIF_Import!$G$1,Podesavanja!$AA$3:$AD$28, 4, 0)), "", VLOOKUP( APIF_Import!$C8, INDIRECT( "Lookup_" &amp; APIF_Import!$O8), VLOOKUP( APIF_Import!$O8 &amp; APIF_Import!$G$1,Podesavanja!$AA$3:$AD$28, 4, 0), 0))</f>
        <v>729772</v>
      </c>
      <c r="H8" s="230" t="str">
        <f ca="1">IF( ISNA( VLOOKUP( APIF_Import!$O8 &amp; APIF_Import!$H$1,Podesavanja!$AA$3:$AD$28, 4, 0)), "", VLOOKUP( APIF_Import!$C8, INDIRECT( "Lookup_" &amp; APIF_Import!$O8), VLOOKUP( APIF_Import!$O8 &amp; APIF_Import!$H$1,Podesavanja!$AA$3:$AD$28, 4, 0), 0))</f>
        <v/>
      </c>
      <c r="I8" s="230" t="str">
        <f ca="1">IF( ISNA( VLOOKUP( APIF_Import!$O8 &amp; APIF_Import!$I$1,Podesavanja!$AA$3:$AD$28, 4, 0)), "", VLOOKUP( APIF_Import!$C8, INDIRECT( "Lookup_" &amp; APIF_Import!$M8:$O8), VLOOKUP( APIF_Import!$O8 &amp; APIF_Import!$I$1,Podesavanja!$AA$3:$AD$28, 4, 0), 0))</f>
        <v/>
      </c>
      <c r="J8" s="230" t="str">
        <f ca="1">IF( ISNA( VLOOKUP( APIF_Import!$O8 &amp; APIF_Import!$J$1,Podesavanja!$AA$3:$AD$28, 4, 0)), "", VLOOKUP( APIF_Import!$C8, INDIRECT( "Lookup_" &amp; APIF_Import!$M8:$O8), VLOOKUP( APIF_Import!$O8 &amp; APIF_Import!$J$1,Podesavanja!$AA$3:$AD$28, 4, 0), 0))</f>
        <v/>
      </c>
      <c r="K8" s="230" t="str">
        <f ca="1">IF( ISNA( VLOOKUP( APIF_Import!$O8 &amp; APIF_Import!$K$1,Podesavanja!$AA$3:$AD$28, 4, 0)), "", VLOOKUP( APIF_Import!$C8, INDIRECT( "Lookup_" &amp; APIF_Import!$M8:$O8), VLOOKUP( APIF_Import!$O8 &amp; APIF_Import!$K$1,Podesavanja!$AA$3:$AD$28, 4, 0), 0))</f>
        <v/>
      </c>
      <c r="L8" s="230" t="str">
        <f ca="1">IF( ISNA( VLOOKUP( APIF_Import!$O8 &amp; APIF_Import!$L$1,Podesavanja!$AA$3:$AD$28, 4, 0)), "", VLOOKUP( APIF_Import!$C8, INDIRECT( "Lookup_" &amp; APIF_Import!$M8:$O8), VLOOKUP( APIF_Import!$O8 &amp; APIF_Import!$L$1,Podesavanja!$AA$3:$AD$28, 4, 0), 0))</f>
        <v/>
      </c>
      <c r="M8" s="230" t="str">
        <f ca="1">IF( ISNA( VLOOKUP( APIF_Import!$O8 &amp; APIF_Import!$M$1,Podesavanja!$AA$3:$AD$28, 4, 0)), "", VLOOKUP( APIF_Import!$C8, INDIRECT( "Lookup_" &amp; APIF_Import!$M8:$O8), VLOOKUP( APIF_Import!$O8 &amp; APIF_Import!$M$1,Podesavanja!$AA$3:$AD$28, 4, 0), 0))</f>
        <v/>
      </c>
      <c r="N8" s="8">
        <v>7</v>
      </c>
      <c r="O8" s="230" t="s">
        <v>2897</v>
      </c>
    </row>
    <row r="9" spans="2:22">
      <c r="B9" s="44">
        <f ca="1">VLOOKUP( APIF_Import!$O9, Podesavanja!$N$3:$Q$9, 4, 0)</f>
        <v>1</v>
      </c>
      <c r="C9" s="229">
        <f ca="1">VLOOKUP( APIF_Import!$N9, Aop!$A$2:$P$456, 4, 0)</f>
        <v>8</v>
      </c>
      <c r="D9" s="230" t="str">
        <f ca="1">IF( ISNA( VLOOKUP( APIF_Import!$O9 &amp; APIF_Import!$D$1,Podesavanja!$AA$3:$AD$28, 4, 0)), "", SUBSTITUTE( VALUE( VLOOKUP( APIF_Import!$C9, INDIRECT( "Lookup_" &amp; APIF_Import!$O9), VLOOKUP( APIF_Import!$O9 &amp; APIF_Import!$D$1,Podesavanja!$AA$3:$AD$28, 4, 0), 0)), ".", ","))</f>
        <v>102453326</v>
      </c>
      <c r="E9" s="230">
        <f ca="1">IF( ISNA( VLOOKUP( APIF_Import!$O9 &amp; APIF_Import!$E$1,Podesavanja!$AA$3:$AD$28, 4, 0)), "", VLOOKUP( APIF_Import!$C9, INDIRECT( "Lookup_" &amp; APIF_Import!$O9), VLOOKUP( APIF_Import!$O9 &amp; APIF_Import!$E$1,Podesavanja!$AA$3:$AD$28, 4, 0), 0))</f>
        <v>78726199</v>
      </c>
      <c r="F9" s="230">
        <f ca="1">IF( ISNA( VLOOKUP( APIF_Import!$O9 &amp; APIF_Import!$F$1,Podesavanja!$AA$3:$AD$28, 4, 0)), "", VLOOKUP( APIF_Import!$C9, INDIRECT( "Lookup_" &amp; APIF_Import!$O9), VLOOKUP( APIF_Import!$O9 &amp; APIF_Import!$F$1,Podesavanja!$AA$3:$AD$28, 4, 0), 0))</f>
        <v>23727127</v>
      </c>
      <c r="G9" s="230">
        <f ca="1">IF( ISNA( VLOOKUP( APIF_Import!$O9 &amp; APIF_Import!$G$1,Podesavanja!$AA$3:$AD$28, 4, 0)), "", VLOOKUP( APIF_Import!$C9, INDIRECT( "Lookup_" &amp; APIF_Import!$O9), VLOOKUP( APIF_Import!$O9 &amp; APIF_Import!$G$1,Podesavanja!$AA$3:$AD$28, 4, 0), 0))</f>
        <v>23888187</v>
      </c>
      <c r="H9" s="230" t="str">
        <f ca="1">IF( ISNA( VLOOKUP( APIF_Import!$O9 &amp; APIF_Import!$H$1,Podesavanja!$AA$3:$AD$28, 4, 0)), "", VLOOKUP( APIF_Import!$C9, INDIRECT( "Lookup_" &amp; APIF_Import!$O9), VLOOKUP( APIF_Import!$O9 &amp; APIF_Import!$H$1,Podesavanja!$AA$3:$AD$28, 4, 0), 0))</f>
        <v/>
      </c>
      <c r="I9" s="230" t="str">
        <f ca="1">IF( ISNA( VLOOKUP( APIF_Import!$O9 &amp; APIF_Import!$I$1,Podesavanja!$AA$3:$AD$28, 4, 0)), "", VLOOKUP( APIF_Import!$C9, INDIRECT( "Lookup_" &amp; APIF_Import!$M9:$O9), VLOOKUP( APIF_Import!$O9 &amp; APIF_Import!$I$1,Podesavanja!$AA$3:$AD$28, 4, 0), 0))</f>
        <v/>
      </c>
      <c r="J9" s="230" t="str">
        <f ca="1">IF( ISNA( VLOOKUP( APIF_Import!$O9 &amp; APIF_Import!$J$1,Podesavanja!$AA$3:$AD$28, 4, 0)), "", VLOOKUP( APIF_Import!$C9, INDIRECT( "Lookup_" &amp; APIF_Import!$M9:$O9), VLOOKUP( APIF_Import!$O9 &amp; APIF_Import!$J$1,Podesavanja!$AA$3:$AD$28, 4, 0), 0))</f>
        <v/>
      </c>
      <c r="K9" s="230" t="str">
        <f ca="1">IF( ISNA( VLOOKUP( APIF_Import!$O9 &amp; APIF_Import!$K$1,Podesavanja!$AA$3:$AD$28, 4, 0)), "", VLOOKUP( APIF_Import!$C9, INDIRECT( "Lookup_" &amp; APIF_Import!$M9:$O9), VLOOKUP( APIF_Import!$O9 &amp; APIF_Import!$K$1,Podesavanja!$AA$3:$AD$28, 4, 0), 0))</f>
        <v/>
      </c>
      <c r="L9" s="230" t="str">
        <f ca="1">IF( ISNA( VLOOKUP( APIF_Import!$O9 &amp; APIF_Import!$L$1,Podesavanja!$AA$3:$AD$28, 4, 0)), "", VLOOKUP( APIF_Import!$C9, INDIRECT( "Lookup_" &amp; APIF_Import!$M9:$O9), VLOOKUP( APIF_Import!$O9 &amp; APIF_Import!$L$1,Podesavanja!$AA$3:$AD$28, 4, 0), 0))</f>
        <v/>
      </c>
      <c r="M9" s="230" t="str">
        <f ca="1">IF( ISNA( VLOOKUP( APIF_Import!$O9 &amp; APIF_Import!$M$1,Podesavanja!$AA$3:$AD$28, 4, 0)), "", VLOOKUP( APIF_Import!$C9, INDIRECT( "Lookup_" &amp; APIF_Import!$M9:$O9), VLOOKUP( APIF_Import!$O9 &amp; APIF_Import!$M$1,Podesavanja!$AA$3:$AD$28, 4, 0), 0))</f>
        <v/>
      </c>
      <c r="N9" s="8">
        <v>8</v>
      </c>
      <c r="O9" s="230" t="s">
        <v>2897</v>
      </c>
    </row>
    <row r="10" spans="2:22">
      <c r="B10" s="44">
        <f ca="1">VLOOKUP( APIF_Import!$O10, Podesavanja!$N$3:$Q$9, 4, 0)</f>
        <v>1</v>
      </c>
      <c r="C10" s="229">
        <f ca="1">VLOOKUP( APIF_Import!$N10, Aop!$A$2:$P$456, 4, 0)</f>
        <v>9</v>
      </c>
      <c r="D10" s="230" t="str">
        <f ca="1">IF( ISNA( VLOOKUP( APIF_Import!$O10 &amp; APIF_Import!$D$1,Podesavanja!$AA$3:$AD$28, 4, 0)), "", SUBSTITUTE( VALUE( VLOOKUP( APIF_Import!$C10, INDIRECT( "Lookup_" &amp; APIF_Import!$O10), VLOOKUP( APIF_Import!$O10 &amp; APIF_Import!$D$1,Podesavanja!$AA$3:$AD$28, 4, 0), 0)), ".", ","))</f>
        <v>17793458</v>
      </c>
      <c r="E10" s="230">
        <f ca="1">IF( ISNA( VLOOKUP( APIF_Import!$O10 &amp; APIF_Import!$E$1,Podesavanja!$AA$3:$AD$28, 4, 0)), "", VLOOKUP( APIF_Import!$C10, INDIRECT( "Lookup_" &amp; APIF_Import!$O10), VLOOKUP( APIF_Import!$O10 &amp; APIF_Import!$E$1,Podesavanja!$AA$3:$AD$28, 4, 0), 0))</f>
        <v>0</v>
      </c>
      <c r="F10" s="230">
        <f ca="1">IF( ISNA( VLOOKUP( APIF_Import!$O10 &amp; APIF_Import!$F$1,Podesavanja!$AA$3:$AD$28, 4, 0)), "", VLOOKUP( APIF_Import!$C10, INDIRECT( "Lookup_" &amp; APIF_Import!$O10), VLOOKUP( APIF_Import!$O10 &amp; APIF_Import!$F$1,Podesavanja!$AA$3:$AD$28, 4, 0), 0))</f>
        <v>17793458</v>
      </c>
      <c r="G10" s="230">
        <f ca="1">IF( ISNA( VLOOKUP( APIF_Import!$O10 &amp; APIF_Import!$G$1,Podesavanja!$AA$3:$AD$28, 4, 0)), "", VLOOKUP( APIF_Import!$C10, INDIRECT( "Lookup_" &amp; APIF_Import!$O10), VLOOKUP( APIF_Import!$O10 &amp; APIF_Import!$G$1,Podesavanja!$AA$3:$AD$28, 4, 0), 0))</f>
        <v>17793458</v>
      </c>
      <c r="H10" s="230" t="str">
        <f ca="1">IF( ISNA( VLOOKUP( APIF_Import!$O10 &amp; APIF_Import!$H$1,Podesavanja!$AA$3:$AD$28, 4, 0)), "", VLOOKUP( APIF_Import!$C10, INDIRECT( "Lookup_" &amp; APIF_Import!$O10), VLOOKUP( APIF_Import!$O10 &amp; APIF_Import!$H$1,Podesavanja!$AA$3:$AD$28, 4, 0), 0))</f>
        <v/>
      </c>
      <c r="I10" s="230" t="str">
        <f ca="1">IF( ISNA( VLOOKUP( APIF_Import!$O10 &amp; APIF_Import!$I$1,Podesavanja!$AA$3:$AD$28, 4, 0)), "", VLOOKUP( APIF_Import!$C10, INDIRECT( "Lookup_" &amp; APIF_Import!$M10:$O10), VLOOKUP( APIF_Import!$O10 &amp; APIF_Import!$I$1,Podesavanja!$AA$3:$AD$28, 4, 0), 0))</f>
        <v/>
      </c>
      <c r="J10" s="230" t="str">
        <f ca="1">IF( ISNA( VLOOKUP( APIF_Import!$O10 &amp; APIF_Import!$J$1,Podesavanja!$AA$3:$AD$28, 4, 0)), "", VLOOKUP( APIF_Import!$C10, INDIRECT( "Lookup_" &amp; APIF_Import!$M10:$O10), VLOOKUP( APIF_Import!$O10 &amp; APIF_Import!$J$1,Podesavanja!$AA$3:$AD$28, 4, 0), 0))</f>
        <v/>
      </c>
      <c r="K10" s="230" t="str">
        <f ca="1">IF( ISNA( VLOOKUP( APIF_Import!$O10 &amp; APIF_Import!$K$1,Podesavanja!$AA$3:$AD$28, 4, 0)), "", VLOOKUP( APIF_Import!$C10, INDIRECT( "Lookup_" &amp; APIF_Import!$M10:$O10), VLOOKUP( APIF_Import!$O10 &amp; APIF_Import!$K$1,Podesavanja!$AA$3:$AD$28, 4, 0), 0))</f>
        <v/>
      </c>
      <c r="L10" s="230" t="str">
        <f ca="1">IF( ISNA( VLOOKUP( APIF_Import!$O10 &amp; APIF_Import!$L$1,Podesavanja!$AA$3:$AD$28, 4, 0)), "", VLOOKUP( APIF_Import!$C10, INDIRECT( "Lookup_" &amp; APIF_Import!$M10:$O10), VLOOKUP( APIF_Import!$O10 &amp; APIF_Import!$L$1,Podesavanja!$AA$3:$AD$28, 4, 0), 0))</f>
        <v/>
      </c>
      <c r="M10" s="230" t="str">
        <f ca="1">IF( ISNA( VLOOKUP( APIF_Import!$O10 &amp; APIF_Import!$M$1,Podesavanja!$AA$3:$AD$28, 4, 0)), "", VLOOKUP( APIF_Import!$C10, INDIRECT( "Lookup_" &amp; APIF_Import!$M10:$O10), VLOOKUP( APIF_Import!$O10 &amp; APIF_Import!$M$1,Podesavanja!$AA$3:$AD$28, 4, 0), 0))</f>
        <v/>
      </c>
      <c r="N10" s="8">
        <v>9</v>
      </c>
      <c r="O10" s="230" t="s">
        <v>2897</v>
      </c>
    </row>
    <row r="11" spans="2:22">
      <c r="B11" s="44">
        <f ca="1">VLOOKUP( APIF_Import!$O11, Podesavanja!$N$3:$Q$9, 4, 0)</f>
        <v>1</v>
      </c>
      <c r="C11" s="229">
        <f ca="1">VLOOKUP( APIF_Import!$N11, Aop!$A$2:$P$456, 4, 0)</f>
        <v>10</v>
      </c>
      <c r="D11" s="230" t="str">
        <f ca="1">IF( ISNA( VLOOKUP( APIF_Import!$O11 &amp; APIF_Import!$D$1,Podesavanja!$AA$3:$AD$28, 4, 0)), "", SUBSTITUTE( VALUE( VLOOKUP( APIF_Import!$C11, INDIRECT( "Lookup_" &amp; APIF_Import!$O11), VLOOKUP( APIF_Import!$O11 &amp; APIF_Import!$D$1,Podesavanja!$AA$3:$AD$28, 4, 0), 0)), ".", ","))</f>
        <v>81392911</v>
      </c>
      <c r="E11" s="230">
        <f ca="1">IF( ISNA( VLOOKUP( APIF_Import!$O11 &amp; APIF_Import!$E$1,Podesavanja!$AA$3:$AD$28, 4, 0)), "", VLOOKUP( APIF_Import!$C11, INDIRECT( "Lookup_" &amp; APIF_Import!$O11), VLOOKUP( APIF_Import!$O11 &amp; APIF_Import!$E$1,Podesavanja!$AA$3:$AD$28, 4, 0), 0))</f>
        <v>77839655</v>
      </c>
      <c r="F11" s="230">
        <f ca="1">IF( ISNA( VLOOKUP( APIF_Import!$O11 &amp; APIF_Import!$F$1,Podesavanja!$AA$3:$AD$28, 4, 0)), "", VLOOKUP( APIF_Import!$C11, INDIRECT( "Lookup_" &amp; APIF_Import!$O11), VLOOKUP( APIF_Import!$O11 &amp; APIF_Import!$F$1,Podesavanja!$AA$3:$AD$28, 4, 0), 0))</f>
        <v>3553256</v>
      </c>
      <c r="G11" s="230">
        <f ca="1">IF( ISNA( VLOOKUP( APIF_Import!$O11 &amp; APIF_Import!$G$1,Podesavanja!$AA$3:$AD$28, 4, 0)), "", VLOOKUP( APIF_Import!$C11, INDIRECT( "Lookup_" &amp; APIF_Import!$O11), VLOOKUP( APIF_Import!$O11 &amp; APIF_Import!$G$1,Podesavanja!$AA$3:$AD$28, 4, 0), 0))</f>
        <v>3629432</v>
      </c>
      <c r="H11" s="230" t="str">
        <f ca="1">IF( ISNA( VLOOKUP( APIF_Import!$O11 &amp; APIF_Import!$H$1,Podesavanja!$AA$3:$AD$28, 4, 0)), "", VLOOKUP( APIF_Import!$C11, INDIRECT( "Lookup_" &amp; APIF_Import!$O11), VLOOKUP( APIF_Import!$O11 &amp; APIF_Import!$H$1,Podesavanja!$AA$3:$AD$28, 4, 0), 0))</f>
        <v/>
      </c>
      <c r="I11" s="230" t="str">
        <f ca="1">IF( ISNA( VLOOKUP( APIF_Import!$O11 &amp; APIF_Import!$I$1,Podesavanja!$AA$3:$AD$28, 4, 0)), "", VLOOKUP( APIF_Import!$C11, INDIRECT( "Lookup_" &amp; APIF_Import!$M11:$O11), VLOOKUP( APIF_Import!$O11 &amp; APIF_Import!$I$1,Podesavanja!$AA$3:$AD$28, 4, 0), 0))</f>
        <v/>
      </c>
      <c r="J11" s="230" t="str">
        <f ca="1">IF( ISNA( VLOOKUP( APIF_Import!$O11 &amp; APIF_Import!$J$1,Podesavanja!$AA$3:$AD$28, 4, 0)), "", VLOOKUP( APIF_Import!$C11, INDIRECT( "Lookup_" &amp; APIF_Import!$M11:$O11), VLOOKUP( APIF_Import!$O11 &amp; APIF_Import!$J$1,Podesavanja!$AA$3:$AD$28, 4, 0), 0))</f>
        <v/>
      </c>
      <c r="K11" s="230" t="str">
        <f ca="1">IF( ISNA( VLOOKUP( APIF_Import!$O11 &amp; APIF_Import!$K$1,Podesavanja!$AA$3:$AD$28, 4, 0)), "", VLOOKUP( APIF_Import!$C11, INDIRECT( "Lookup_" &amp; APIF_Import!$M11:$O11), VLOOKUP( APIF_Import!$O11 &amp; APIF_Import!$K$1,Podesavanja!$AA$3:$AD$28, 4, 0), 0))</f>
        <v/>
      </c>
      <c r="L11" s="230" t="str">
        <f ca="1">IF( ISNA( VLOOKUP( APIF_Import!$O11 &amp; APIF_Import!$L$1,Podesavanja!$AA$3:$AD$28, 4, 0)), "", VLOOKUP( APIF_Import!$C11, INDIRECT( "Lookup_" &amp; APIF_Import!$M11:$O11), VLOOKUP( APIF_Import!$O11 &amp; APIF_Import!$L$1,Podesavanja!$AA$3:$AD$28, 4, 0), 0))</f>
        <v/>
      </c>
      <c r="M11" s="230" t="str">
        <f ca="1">IF( ISNA( VLOOKUP( APIF_Import!$O11 &amp; APIF_Import!$M$1,Podesavanja!$AA$3:$AD$28, 4, 0)), "", VLOOKUP( APIF_Import!$C11, INDIRECT( "Lookup_" &amp; APIF_Import!$M11:$O11), VLOOKUP( APIF_Import!$O11 &amp; APIF_Import!$M$1,Podesavanja!$AA$3:$AD$28, 4, 0), 0))</f>
        <v/>
      </c>
      <c r="N11" s="8">
        <v>10</v>
      </c>
      <c r="O11" s="230" t="s">
        <v>2897</v>
      </c>
    </row>
    <row r="12" spans="2:22">
      <c r="B12" s="44">
        <f ca="1">VLOOKUP( APIF_Import!$O12, Podesavanja!$N$3:$Q$9, 4, 0)</f>
        <v>1</v>
      </c>
      <c r="C12" s="229">
        <f ca="1">VLOOKUP( APIF_Import!$N12, Aop!$A$2:$P$456, 4, 0)</f>
        <v>11</v>
      </c>
      <c r="D12" s="230" t="str">
        <f ca="1">IF( ISNA( VLOOKUP( APIF_Import!$O12 &amp; APIF_Import!$D$1,Podesavanja!$AA$3:$AD$28, 4, 0)), "", SUBSTITUTE( VALUE( VLOOKUP( APIF_Import!$C12, INDIRECT( "Lookup_" &amp; APIF_Import!$O12), VLOOKUP( APIF_Import!$O12 &amp; APIF_Import!$D$1,Podesavanja!$AA$3:$AD$28, 4, 0), 0)), ".", ","))</f>
        <v>1139336</v>
      </c>
      <c r="E12" s="230">
        <f ca="1">IF( ISNA( VLOOKUP( APIF_Import!$O12 &amp; APIF_Import!$E$1,Podesavanja!$AA$3:$AD$28, 4, 0)), "", VLOOKUP( APIF_Import!$C12, INDIRECT( "Lookup_" &amp; APIF_Import!$O12), VLOOKUP( APIF_Import!$O12 &amp; APIF_Import!$E$1,Podesavanja!$AA$3:$AD$28, 4, 0), 0))</f>
        <v>654574</v>
      </c>
      <c r="F12" s="230">
        <f ca="1">IF( ISNA( VLOOKUP( APIF_Import!$O12 &amp; APIF_Import!$F$1,Podesavanja!$AA$3:$AD$28, 4, 0)), "", VLOOKUP( APIF_Import!$C12, INDIRECT( "Lookup_" &amp; APIF_Import!$O12), VLOOKUP( APIF_Import!$O12 &amp; APIF_Import!$F$1,Podesavanja!$AA$3:$AD$28, 4, 0), 0))</f>
        <v>484762</v>
      </c>
      <c r="G12" s="230">
        <f ca="1">IF( ISNA( VLOOKUP( APIF_Import!$O12 &amp; APIF_Import!$G$1,Podesavanja!$AA$3:$AD$28, 4, 0)), "", VLOOKUP( APIF_Import!$C12, INDIRECT( "Lookup_" &amp; APIF_Import!$O12), VLOOKUP( APIF_Import!$O12 &amp; APIF_Import!$G$1,Podesavanja!$AA$3:$AD$28, 4, 0), 0))</f>
        <v>569646</v>
      </c>
      <c r="H12" s="230" t="str">
        <f ca="1">IF( ISNA( VLOOKUP( APIF_Import!$O12 &amp; APIF_Import!$H$1,Podesavanja!$AA$3:$AD$28, 4, 0)), "", VLOOKUP( APIF_Import!$C12, INDIRECT( "Lookup_" &amp; APIF_Import!$O12), VLOOKUP( APIF_Import!$O12 &amp; APIF_Import!$H$1,Podesavanja!$AA$3:$AD$28, 4, 0), 0))</f>
        <v/>
      </c>
      <c r="I12" s="230" t="str">
        <f ca="1">IF( ISNA( VLOOKUP( APIF_Import!$O12 &amp; APIF_Import!$I$1,Podesavanja!$AA$3:$AD$28, 4, 0)), "", VLOOKUP( APIF_Import!$C12, INDIRECT( "Lookup_" &amp; APIF_Import!$M12:$O12), VLOOKUP( APIF_Import!$O12 &amp; APIF_Import!$I$1,Podesavanja!$AA$3:$AD$28, 4, 0), 0))</f>
        <v/>
      </c>
      <c r="J12" s="230" t="str">
        <f ca="1">IF( ISNA( VLOOKUP( APIF_Import!$O12 &amp; APIF_Import!$J$1,Podesavanja!$AA$3:$AD$28, 4, 0)), "", VLOOKUP( APIF_Import!$C12, INDIRECT( "Lookup_" &amp; APIF_Import!$M12:$O12), VLOOKUP( APIF_Import!$O12 &amp; APIF_Import!$J$1,Podesavanja!$AA$3:$AD$28, 4, 0), 0))</f>
        <v/>
      </c>
      <c r="K12" s="230" t="str">
        <f ca="1">IF( ISNA( VLOOKUP( APIF_Import!$O12 &amp; APIF_Import!$K$1,Podesavanja!$AA$3:$AD$28, 4, 0)), "", VLOOKUP( APIF_Import!$C12, INDIRECT( "Lookup_" &amp; APIF_Import!$M12:$O12), VLOOKUP( APIF_Import!$O12 &amp; APIF_Import!$K$1,Podesavanja!$AA$3:$AD$28, 4, 0), 0))</f>
        <v/>
      </c>
      <c r="L12" s="230" t="str">
        <f ca="1">IF( ISNA( VLOOKUP( APIF_Import!$O12 &amp; APIF_Import!$L$1,Podesavanja!$AA$3:$AD$28, 4, 0)), "", VLOOKUP( APIF_Import!$C12, INDIRECT( "Lookup_" &amp; APIF_Import!$M12:$O12), VLOOKUP( APIF_Import!$O12 &amp; APIF_Import!$L$1,Podesavanja!$AA$3:$AD$28, 4, 0), 0))</f>
        <v/>
      </c>
      <c r="M12" s="230" t="str">
        <f ca="1">IF( ISNA( VLOOKUP( APIF_Import!$O12 &amp; APIF_Import!$M$1,Podesavanja!$AA$3:$AD$28, 4, 0)), "", VLOOKUP( APIF_Import!$C12, INDIRECT( "Lookup_" &amp; APIF_Import!$M12:$O12), VLOOKUP( APIF_Import!$O12 &amp; APIF_Import!$M$1,Podesavanja!$AA$3:$AD$28, 4, 0), 0))</f>
        <v/>
      </c>
      <c r="N12" s="8">
        <v>11</v>
      </c>
      <c r="O12" s="230" t="s">
        <v>2897</v>
      </c>
      <c r="P12" s="8" t="s">
        <v>2902</v>
      </c>
    </row>
    <row r="13" spans="2:22">
      <c r="B13" s="44">
        <f ca="1">VLOOKUP( APIF_Import!$O13, Podesavanja!$N$3:$Q$9, 4, 0)</f>
        <v>1</v>
      </c>
      <c r="C13" s="229">
        <f ca="1">VLOOKUP( APIF_Import!$N13, Aop!$A$2:$P$456, 4, 0)</f>
        <v>12</v>
      </c>
      <c r="D13" s="230" t="str">
        <f ca="1">IF( ISNA( VLOOKUP( APIF_Import!$O13 &amp; APIF_Import!$D$1,Podesavanja!$AA$3:$AD$28, 4, 0)), "", SUBSTITUTE( VALUE( VLOOKUP( APIF_Import!$C13, INDIRECT( "Lookup_" &amp; APIF_Import!$O13), VLOOKUP( APIF_Import!$O13 &amp; APIF_Import!$D$1,Podesavanja!$AA$3:$AD$28, 4, 0), 0)), ".", ","))</f>
        <v>168283</v>
      </c>
      <c r="E13" s="230">
        <f ca="1">IF( ISNA( VLOOKUP( APIF_Import!$O13 &amp; APIF_Import!$E$1,Podesavanja!$AA$3:$AD$28, 4, 0)), "", VLOOKUP( APIF_Import!$C13, INDIRECT( "Lookup_" &amp; APIF_Import!$O13), VLOOKUP( APIF_Import!$O13 &amp; APIF_Import!$E$1,Podesavanja!$AA$3:$AD$28, 4, 0), 0))</f>
        <v>0</v>
      </c>
      <c r="F13" s="230">
        <f ca="1">IF( ISNA( VLOOKUP( APIF_Import!$O13 &amp; APIF_Import!$F$1,Podesavanja!$AA$3:$AD$28, 4, 0)), "", VLOOKUP( APIF_Import!$C13, INDIRECT( "Lookup_" &amp; APIF_Import!$O13), VLOOKUP( APIF_Import!$O13 &amp; APIF_Import!$F$1,Podesavanja!$AA$3:$AD$28, 4, 0), 0))</f>
        <v>168283</v>
      </c>
      <c r="G13" s="230">
        <f ca="1">IF( ISNA( VLOOKUP( APIF_Import!$O13 &amp; APIF_Import!$G$1,Podesavanja!$AA$3:$AD$28, 4, 0)), "", VLOOKUP( APIF_Import!$C13, INDIRECT( "Lookup_" &amp; APIF_Import!$O13), VLOOKUP( APIF_Import!$O13 &amp; APIF_Import!$G$1,Podesavanja!$AA$3:$AD$28, 4, 0), 0))</f>
        <v>168283</v>
      </c>
      <c r="H13" s="230" t="str">
        <f ca="1">IF( ISNA( VLOOKUP( APIF_Import!$O13 &amp; APIF_Import!$H$1,Podesavanja!$AA$3:$AD$28, 4, 0)), "", VLOOKUP( APIF_Import!$C13, INDIRECT( "Lookup_" &amp; APIF_Import!$O13), VLOOKUP( APIF_Import!$O13 &amp; APIF_Import!$H$1,Podesavanja!$AA$3:$AD$28, 4, 0), 0))</f>
        <v/>
      </c>
      <c r="I13" s="230" t="str">
        <f ca="1">IF( ISNA( VLOOKUP( APIF_Import!$O13 &amp; APIF_Import!$I$1,Podesavanja!$AA$3:$AD$28, 4, 0)), "", VLOOKUP( APIF_Import!$C13, INDIRECT( "Lookup_" &amp; APIF_Import!$M13:$O13), VLOOKUP( APIF_Import!$O13 &amp; APIF_Import!$I$1,Podesavanja!$AA$3:$AD$28, 4, 0), 0))</f>
        <v/>
      </c>
      <c r="J13" s="230" t="str">
        <f ca="1">IF( ISNA( VLOOKUP( APIF_Import!$O13 &amp; APIF_Import!$J$1,Podesavanja!$AA$3:$AD$28, 4, 0)), "", VLOOKUP( APIF_Import!$C13, INDIRECT( "Lookup_" &amp; APIF_Import!$M13:$O13), VLOOKUP( APIF_Import!$O13 &amp; APIF_Import!$J$1,Podesavanja!$AA$3:$AD$28, 4, 0), 0))</f>
        <v/>
      </c>
      <c r="K13" s="230" t="str">
        <f ca="1">IF( ISNA( VLOOKUP( APIF_Import!$O13 &amp; APIF_Import!$K$1,Podesavanja!$AA$3:$AD$28, 4, 0)), "", VLOOKUP( APIF_Import!$C13, INDIRECT( "Lookup_" &amp; APIF_Import!$M13:$O13), VLOOKUP( APIF_Import!$O13 &amp; APIF_Import!$K$1,Podesavanja!$AA$3:$AD$28, 4, 0), 0))</f>
        <v/>
      </c>
      <c r="L13" s="230" t="str">
        <f ca="1">IF( ISNA( VLOOKUP( APIF_Import!$O13 &amp; APIF_Import!$L$1,Podesavanja!$AA$3:$AD$28, 4, 0)), "", VLOOKUP( APIF_Import!$C13, INDIRECT( "Lookup_" &amp; APIF_Import!$M13:$O13), VLOOKUP( APIF_Import!$O13 &amp; APIF_Import!$L$1,Podesavanja!$AA$3:$AD$28, 4, 0), 0))</f>
        <v/>
      </c>
      <c r="M13" s="230" t="str">
        <f ca="1">IF( ISNA( VLOOKUP( APIF_Import!$O13 &amp; APIF_Import!$M$1,Podesavanja!$AA$3:$AD$28, 4, 0)), "", VLOOKUP( APIF_Import!$C13, INDIRECT( "Lookup_" &amp; APIF_Import!$M13:$O13), VLOOKUP( APIF_Import!$O13 &amp; APIF_Import!$M$1,Podesavanja!$AA$3:$AD$28, 4, 0), 0))</f>
        <v/>
      </c>
      <c r="N13" s="8">
        <v>12</v>
      </c>
      <c r="O13" s="230" t="s">
        <v>2897</v>
      </c>
      <c r="P13" s="8" t="s">
        <v>2903</v>
      </c>
    </row>
    <row r="14" spans="2:22">
      <c r="B14" s="44">
        <f ca="1">VLOOKUP( APIF_Import!$O14, Podesavanja!$N$3:$Q$9, 4, 0)</f>
        <v>1</v>
      </c>
      <c r="C14" s="229">
        <f ca="1">VLOOKUP( APIF_Import!$N14, Aop!$A$2:$P$456, 4, 0)</f>
        <v>13</v>
      </c>
      <c r="D14" s="230" t="str">
        <f ca="1">IF( ISNA( VLOOKUP( APIF_Import!$O14 &amp; APIF_Import!$D$1,Podesavanja!$AA$3:$AD$28, 4, 0)), "", SUBSTITUTE( VALUE( VLOOKUP( APIF_Import!$C14, INDIRECT( "Lookup_" &amp; APIF_Import!$O14), VLOOKUP( APIF_Import!$O14 &amp; APIF_Import!$D$1,Podesavanja!$AA$3:$AD$28, 4, 0), 0)), ".", ","))</f>
        <v>0</v>
      </c>
      <c r="E14" s="230">
        <f ca="1">IF( ISNA( VLOOKUP( APIF_Import!$O14 &amp; APIF_Import!$E$1,Podesavanja!$AA$3:$AD$28, 4, 0)), "", VLOOKUP( APIF_Import!$C14, INDIRECT( "Lookup_" &amp; APIF_Import!$O14), VLOOKUP( APIF_Import!$O14 &amp; APIF_Import!$E$1,Podesavanja!$AA$3:$AD$28, 4, 0), 0))</f>
        <v>0</v>
      </c>
      <c r="F14" s="230">
        <f ca="1">IF( ISNA( VLOOKUP( APIF_Import!$O14 &amp; APIF_Import!$F$1,Podesavanja!$AA$3:$AD$28, 4, 0)), "", VLOOKUP( APIF_Import!$C14, INDIRECT( "Lookup_" &amp; APIF_Import!$O14), VLOOKUP( APIF_Import!$O14 &amp; APIF_Import!$F$1,Podesavanja!$AA$3:$AD$28, 4, 0), 0))</f>
        <v>0</v>
      </c>
      <c r="G14" s="230">
        <f ca="1">IF( ISNA( VLOOKUP( APIF_Import!$O14 &amp; APIF_Import!$G$1,Podesavanja!$AA$3:$AD$28, 4, 0)), "", VLOOKUP( APIF_Import!$C14, INDIRECT( "Lookup_" &amp; APIF_Import!$O14), VLOOKUP( APIF_Import!$O14 &amp; APIF_Import!$G$1,Podesavanja!$AA$3:$AD$28, 4, 0), 0))</f>
        <v>0</v>
      </c>
      <c r="H14" s="230" t="str">
        <f ca="1">IF( ISNA( VLOOKUP( APIF_Import!$O14 &amp; APIF_Import!$H$1,Podesavanja!$AA$3:$AD$28, 4, 0)), "", VLOOKUP( APIF_Import!$C14, INDIRECT( "Lookup_" &amp; APIF_Import!$O14), VLOOKUP( APIF_Import!$O14 &amp; APIF_Import!$H$1,Podesavanja!$AA$3:$AD$28, 4, 0), 0))</f>
        <v/>
      </c>
      <c r="I14" s="230" t="str">
        <f ca="1">IF( ISNA( VLOOKUP( APIF_Import!$O14 &amp; APIF_Import!$I$1,Podesavanja!$AA$3:$AD$28, 4, 0)), "", VLOOKUP( APIF_Import!$C14, INDIRECT( "Lookup_" &amp; APIF_Import!$M14:$O14), VLOOKUP( APIF_Import!$O14 &amp; APIF_Import!$I$1,Podesavanja!$AA$3:$AD$28, 4, 0), 0))</f>
        <v/>
      </c>
      <c r="J14" s="230" t="str">
        <f ca="1">IF( ISNA( VLOOKUP( APIF_Import!$O14 &amp; APIF_Import!$J$1,Podesavanja!$AA$3:$AD$28, 4, 0)), "", VLOOKUP( APIF_Import!$C14, INDIRECT( "Lookup_" &amp; APIF_Import!$M14:$O14), VLOOKUP( APIF_Import!$O14 &amp; APIF_Import!$J$1,Podesavanja!$AA$3:$AD$28, 4, 0), 0))</f>
        <v/>
      </c>
      <c r="K14" s="230" t="str">
        <f ca="1">IF( ISNA( VLOOKUP( APIF_Import!$O14 &amp; APIF_Import!$K$1,Podesavanja!$AA$3:$AD$28, 4, 0)), "", VLOOKUP( APIF_Import!$C14, INDIRECT( "Lookup_" &amp; APIF_Import!$M14:$O14), VLOOKUP( APIF_Import!$O14 &amp; APIF_Import!$K$1,Podesavanja!$AA$3:$AD$28, 4, 0), 0))</f>
        <v/>
      </c>
      <c r="L14" s="230" t="str">
        <f ca="1">IF( ISNA( VLOOKUP( APIF_Import!$O14 &amp; APIF_Import!$L$1,Podesavanja!$AA$3:$AD$28, 4, 0)), "", VLOOKUP( APIF_Import!$C14, INDIRECT( "Lookup_" &amp; APIF_Import!$M14:$O14), VLOOKUP( APIF_Import!$O14 &amp; APIF_Import!$L$1,Podesavanja!$AA$3:$AD$28, 4, 0), 0))</f>
        <v/>
      </c>
      <c r="M14" s="230" t="str">
        <f ca="1">IF( ISNA( VLOOKUP( APIF_Import!$O14 &amp; APIF_Import!$M$1,Podesavanja!$AA$3:$AD$28, 4, 0)), "", VLOOKUP( APIF_Import!$C14, INDIRECT( "Lookup_" &amp; APIF_Import!$M14:$O14), VLOOKUP( APIF_Import!$O14 &amp; APIF_Import!$M$1,Podesavanja!$AA$3:$AD$28, 4, 0), 0))</f>
        <v/>
      </c>
      <c r="N14" s="8">
        <v>13</v>
      </c>
      <c r="O14" s="230" t="s">
        <v>2897</v>
      </c>
    </row>
    <row r="15" spans="2:22">
      <c r="B15" s="44">
        <f ca="1">VLOOKUP( APIF_Import!$O15, Podesavanja!$N$3:$Q$9, 4, 0)</f>
        <v>1</v>
      </c>
      <c r="C15" s="229">
        <f ca="1">VLOOKUP( APIF_Import!$N15, Aop!$A$2:$P$456, 4, 0)</f>
        <v>14</v>
      </c>
      <c r="D15" s="230" t="str">
        <f ca="1">IF( ISNA( VLOOKUP( APIF_Import!$O15 &amp; APIF_Import!$D$1,Podesavanja!$AA$3:$AD$28, 4, 0)), "", SUBSTITUTE( VALUE( VLOOKUP( APIF_Import!$C15, INDIRECT( "Lookup_" &amp; APIF_Import!$O15), VLOOKUP( APIF_Import!$O15 &amp; APIF_Import!$D$1,Podesavanja!$AA$3:$AD$28, 4, 0), 0)), ".", ","))</f>
        <v>1959338</v>
      </c>
      <c r="E15" s="230">
        <f ca="1">IF( ISNA( VLOOKUP( APIF_Import!$O15 &amp; APIF_Import!$E$1,Podesavanja!$AA$3:$AD$28, 4, 0)), "", VLOOKUP( APIF_Import!$C15, INDIRECT( "Lookup_" &amp; APIF_Import!$O15), VLOOKUP( APIF_Import!$O15 &amp; APIF_Import!$E$1,Podesavanja!$AA$3:$AD$28, 4, 0), 0))</f>
        <v>231970</v>
      </c>
      <c r="F15" s="230">
        <f ca="1">IF( ISNA( VLOOKUP( APIF_Import!$O15 &amp; APIF_Import!$F$1,Podesavanja!$AA$3:$AD$28, 4, 0)), "", VLOOKUP( APIF_Import!$C15, INDIRECT( "Lookup_" &amp; APIF_Import!$O15), VLOOKUP( APIF_Import!$O15 &amp; APIF_Import!$F$1,Podesavanja!$AA$3:$AD$28, 4, 0), 0))</f>
        <v>1727368</v>
      </c>
      <c r="G15" s="230">
        <f ca="1">IF( ISNA( VLOOKUP( APIF_Import!$O15 &amp; APIF_Import!$G$1,Podesavanja!$AA$3:$AD$28, 4, 0)), "", VLOOKUP( APIF_Import!$C15, INDIRECT( "Lookup_" &amp; APIF_Import!$O15), VLOOKUP( APIF_Import!$O15 &amp; APIF_Import!$G$1,Podesavanja!$AA$3:$AD$28, 4, 0), 0))</f>
        <v>1727368</v>
      </c>
      <c r="H15" s="230" t="str">
        <f ca="1">IF( ISNA( VLOOKUP( APIF_Import!$O15 &amp; APIF_Import!$H$1,Podesavanja!$AA$3:$AD$28, 4, 0)), "", VLOOKUP( APIF_Import!$C15, INDIRECT( "Lookup_" &amp; APIF_Import!$O15), VLOOKUP( APIF_Import!$O15 &amp; APIF_Import!$H$1,Podesavanja!$AA$3:$AD$28, 4, 0), 0))</f>
        <v/>
      </c>
      <c r="I15" s="230" t="str">
        <f ca="1">IF( ISNA( VLOOKUP( APIF_Import!$O15 &amp; APIF_Import!$I$1,Podesavanja!$AA$3:$AD$28, 4, 0)), "", VLOOKUP( APIF_Import!$C15, INDIRECT( "Lookup_" &amp; APIF_Import!$M15:$O15), VLOOKUP( APIF_Import!$O15 &amp; APIF_Import!$I$1,Podesavanja!$AA$3:$AD$28, 4, 0), 0))</f>
        <v/>
      </c>
      <c r="J15" s="230" t="str">
        <f ca="1">IF( ISNA( VLOOKUP( APIF_Import!$O15 &amp; APIF_Import!$J$1,Podesavanja!$AA$3:$AD$28, 4, 0)), "", VLOOKUP( APIF_Import!$C15, INDIRECT( "Lookup_" &amp; APIF_Import!$M15:$O15), VLOOKUP( APIF_Import!$O15 &amp; APIF_Import!$J$1,Podesavanja!$AA$3:$AD$28, 4, 0), 0))</f>
        <v/>
      </c>
      <c r="K15" s="230" t="str">
        <f ca="1">IF( ISNA( VLOOKUP( APIF_Import!$O15 &amp; APIF_Import!$K$1,Podesavanja!$AA$3:$AD$28, 4, 0)), "", VLOOKUP( APIF_Import!$C15, INDIRECT( "Lookup_" &amp; APIF_Import!$M15:$O15), VLOOKUP( APIF_Import!$O15 &amp; APIF_Import!$K$1,Podesavanja!$AA$3:$AD$28, 4, 0), 0))</f>
        <v/>
      </c>
      <c r="L15" s="230" t="str">
        <f ca="1">IF( ISNA( VLOOKUP( APIF_Import!$O15 &amp; APIF_Import!$L$1,Podesavanja!$AA$3:$AD$28, 4, 0)), "", VLOOKUP( APIF_Import!$C15, INDIRECT( "Lookup_" &amp; APIF_Import!$M15:$O15), VLOOKUP( APIF_Import!$O15 &amp; APIF_Import!$L$1,Podesavanja!$AA$3:$AD$28, 4, 0), 0))</f>
        <v/>
      </c>
      <c r="M15" s="230" t="str">
        <f ca="1">IF( ISNA( VLOOKUP( APIF_Import!$O15 &amp; APIF_Import!$M$1,Podesavanja!$AA$3:$AD$28, 4, 0)), "", VLOOKUP( APIF_Import!$C15, INDIRECT( "Lookup_" &amp; APIF_Import!$M15:$O15), VLOOKUP( APIF_Import!$O15 &amp; APIF_Import!$M$1,Podesavanja!$AA$3:$AD$28, 4, 0), 0))</f>
        <v/>
      </c>
      <c r="N15" s="8">
        <v>14</v>
      </c>
      <c r="O15" s="230" t="s">
        <v>2897</v>
      </c>
      <c r="P15" s="500" t="s">
        <v>21</v>
      </c>
      <c r="Q15" s="500"/>
      <c r="R15" s="500"/>
      <c r="S15" s="500"/>
      <c r="T15" s="500"/>
      <c r="U15" s="500"/>
      <c r="V15" s="500"/>
    </row>
    <row r="16" spans="2:22">
      <c r="B16" s="44">
        <f ca="1">VLOOKUP( APIF_Import!$O16, Podesavanja!$N$3:$Q$9, 4, 0)</f>
        <v>1</v>
      </c>
      <c r="C16" s="229">
        <f ca="1">VLOOKUP( APIF_Import!$N16, Aop!$A$2:$P$456, 4, 0)</f>
        <v>15</v>
      </c>
      <c r="D16" s="230" t="str">
        <f ca="1">IF( ISNA( VLOOKUP( APIF_Import!$O16 &amp; APIF_Import!$D$1,Podesavanja!$AA$3:$AD$28, 4, 0)), "", SUBSTITUTE( VALUE( VLOOKUP( APIF_Import!$C16, INDIRECT( "Lookup_" &amp; APIF_Import!$O16), VLOOKUP( APIF_Import!$O16 &amp; APIF_Import!$D$1,Podesavanja!$AA$3:$AD$28, 4, 0), 0)), ".", ","))</f>
        <v>0</v>
      </c>
      <c r="E16" s="230">
        <f ca="1">IF( ISNA( VLOOKUP( APIF_Import!$O16 &amp; APIF_Import!$E$1,Podesavanja!$AA$3:$AD$28, 4, 0)), "", VLOOKUP( APIF_Import!$C16, INDIRECT( "Lookup_" &amp; APIF_Import!$O16), VLOOKUP( APIF_Import!$O16 &amp; APIF_Import!$E$1,Podesavanja!$AA$3:$AD$28, 4, 0), 0))</f>
        <v>0</v>
      </c>
      <c r="F16" s="230">
        <f ca="1">IF( ISNA( VLOOKUP( APIF_Import!$O16 &amp; APIF_Import!$F$1,Podesavanja!$AA$3:$AD$28, 4, 0)), "", VLOOKUP( APIF_Import!$C16, INDIRECT( "Lookup_" &amp; APIF_Import!$O16), VLOOKUP( APIF_Import!$O16 &amp; APIF_Import!$F$1,Podesavanja!$AA$3:$AD$28, 4, 0), 0))</f>
        <v>0</v>
      </c>
      <c r="G16" s="230">
        <f ca="1">IF( ISNA( VLOOKUP( APIF_Import!$O16 &amp; APIF_Import!$G$1,Podesavanja!$AA$3:$AD$28, 4, 0)), "", VLOOKUP( APIF_Import!$C16, INDIRECT( "Lookup_" &amp; APIF_Import!$O16), VLOOKUP( APIF_Import!$O16 &amp; APIF_Import!$G$1,Podesavanja!$AA$3:$AD$28, 4, 0), 0))</f>
        <v>0</v>
      </c>
      <c r="H16" s="230" t="str">
        <f ca="1">IF( ISNA( VLOOKUP( APIF_Import!$O16 &amp; APIF_Import!$H$1,Podesavanja!$AA$3:$AD$28, 4, 0)), "", VLOOKUP( APIF_Import!$C16, INDIRECT( "Lookup_" &amp; APIF_Import!$O16), VLOOKUP( APIF_Import!$O16 &amp; APIF_Import!$H$1,Podesavanja!$AA$3:$AD$28, 4, 0), 0))</f>
        <v/>
      </c>
      <c r="I16" s="230" t="str">
        <f ca="1">IF( ISNA( VLOOKUP( APIF_Import!$O16 &amp; APIF_Import!$I$1,Podesavanja!$AA$3:$AD$28, 4, 0)), "", VLOOKUP( APIF_Import!$C16, INDIRECT( "Lookup_" &amp; APIF_Import!$M16:$O16), VLOOKUP( APIF_Import!$O16 &amp; APIF_Import!$I$1,Podesavanja!$AA$3:$AD$28, 4, 0), 0))</f>
        <v/>
      </c>
      <c r="J16" s="230" t="str">
        <f ca="1">IF( ISNA( VLOOKUP( APIF_Import!$O16 &amp; APIF_Import!$J$1,Podesavanja!$AA$3:$AD$28, 4, 0)), "", VLOOKUP( APIF_Import!$C16, INDIRECT( "Lookup_" &amp; APIF_Import!$M16:$O16), VLOOKUP( APIF_Import!$O16 &amp; APIF_Import!$J$1,Podesavanja!$AA$3:$AD$28, 4, 0), 0))</f>
        <v/>
      </c>
      <c r="K16" s="230" t="str">
        <f ca="1">IF( ISNA( VLOOKUP( APIF_Import!$O16 &amp; APIF_Import!$K$1,Podesavanja!$AA$3:$AD$28, 4, 0)), "", VLOOKUP( APIF_Import!$C16, INDIRECT( "Lookup_" &amp; APIF_Import!$M16:$O16), VLOOKUP( APIF_Import!$O16 &amp; APIF_Import!$K$1,Podesavanja!$AA$3:$AD$28, 4, 0), 0))</f>
        <v/>
      </c>
      <c r="L16" s="230" t="str">
        <f ca="1">IF( ISNA( VLOOKUP( APIF_Import!$O16 &amp; APIF_Import!$L$1,Podesavanja!$AA$3:$AD$28, 4, 0)), "", VLOOKUP( APIF_Import!$C16, INDIRECT( "Lookup_" &amp; APIF_Import!$M16:$O16), VLOOKUP( APIF_Import!$O16 &amp; APIF_Import!$L$1,Podesavanja!$AA$3:$AD$28, 4, 0), 0))</f>
        <v/>
      </c>
      <c r="M16" s="230" t="str">
        <f ca="1">IF( ISNA( VLOOKUP( APIF_Import!$O16 &amp; APIF_Import!$M$1,Podesavanja!$AA$3:$AD$28, 4, 0)), "", VLOOKUP( APIF_Import!$C16, INDIRECT( "Lookup_" &amp; APIF_Import!$M16:$O16), VLOOKUP( APIF_Import!$O16 &amp; APIF_Import!$M$1,Podesavanja!$AA$3:$AD$28, 4, 0), 0))</f>
        <v/>
      </c>
      <c r="N16" s="8">
        <v>15</v>
      </c>
      <c r="O16" s="230" t="s">
        <v>2897</v>
      </c>
      <c r="P16" s="500" t="s">
        <v>20</v>
      </c>
      <c r="Q16" s="500"/>
      <c r="R16" s="500"/>
      <c r="S16" s="500"/>
      <c r="T16" s="500"/>
      <c r="U16" s="500"/>
      <c r="V16" s="500"/>
    </row>
    <row r="17" spans="2:16">
      <c r="B17" s="44">
        <f ca="1">VLOOKUP( APIF_Import!$O17, Podesavanja!$N$3:$Q$9, 4, 0)</f>
        <v>1</v>
      </c>
      <c r="C17" s="229">
        <f ca="1">VLOOKUP( APIF_Import!$N17, Aop!$A$2:$P$456, 4, 0)</f>
        <v>16</v>
      </c>
      <c r="D17" s="230" t="str">
        <f ca="1">IF( ISNA( VLOOKUP( APIF_Import!$O17 &amp; APIF_Import!$D$1,Podesavanja!$AA$3:$AD$28, 4, 0)), "", SUBSTITUTE( VALUE( VLOOKUP( APIF_Import!$C17, INDIRECT( "Lookup_" &amp; APIF_Import!$O17), VLOOKUP( APIF_Import!$O17 &amp; APIF_Import!$D$1,Podesavanja!$AA$3:$AD$28, 4, 0), 0)), ".", ","))</f>
        <v>0</v>
      </c>
      <c r="E17" s="230">
        <f ca="1">IF( ISNA( VLOOKUP( APIF_Import!$O17 &amp; APIF_Import!$E$1,Podesavanja!$AA$3:$AD$28, 4, 0)), "", VLOOKUP( APIF_Import!$C17, INDIRECT( "Lookup_" &amp; APIF_Import!$O17), VLOOKUP( APIF_Import!$O17 &amp; APIF_Import!$E$1,Podesavanja!$AA$3:$AD$28, 4, 0), 0))</f>
        <v>0</v>
      </c>
      <c r="F17" s="230">
        <f ca="1">IF( ISNA( VLOOKUP( APIF_Import!$O17 &amp; APIF_Import!$F$1,Podesavanja!$AA$3:$AD$28, 4, 0)), "", VLOOKUP( APIF_Import!$C17, INDIRECT( "Lookup_" &amp; APIF_Import!$O17), VLOOKUP( APIF_Import!$O17 &amp; APIF_Import!$F$1,Podesavanja!$AA$3:$AD$28, 4, 0), 0))</f>
        <v>0</v>
      </c>
      <c r="G17" s="230">
        <f ca="1">IF( ISNA( VLOOKUP( APIF_Import!$O17 &amp; APIF_Import!$G$1,Podesavanja!$AA$3:$AD$28, 4, 0)), "", VLOOKUP( APIF_Import!$C17, INDIRECT( "Lookup_" &amp; APIF_Import!$O17), VLOOKUP( APIF_Import!$O17 &amp; APIF_Import!$G$1,Podesavanja!$AA$3:$AD$28, 4, 0), 0))</f>
        <v>0</v>
      </c>
      <c r="H17" s="230" t="str">
        <f ca="1">IF( ISNA( VLOOKUP( APIF_Import!$O17 &amp; APIF_Import!$H$1,Podesavanja!$AA$3:$AD$28, 4, 0)), "", VLOOKUP( APIF_Import!$C17, INDIRECT( "Lookup_" &amp; APIF_Import!$O17), VLOOKUP( APIF_Import!$O17 &amp; APIF_Import!$H$1,Podesavanja!$AA$3:$AD$28, 4, 0), 0))</f>
        <v/>
      </c>
      <c r="I17" s="230" t="str">
        <f ca="1">IF( ISNA( VLOOKUP( APIF_Import!$O17 &amp; APIF_Import!$I$1,Podesavanja!$AA$3:$AD$28, 4, 0)), "", VLOOKUP( APIF_Import!$C17, INDIRECT( "Lookup_" &amp; APIF_Import!$M17:$O17), VLOOKUP( APIF_Import!$O17 &amp; APIF_Import!$I$1,Podesavanja!$AA$3:$AD$28, 4, 0), 0))</f>
        <v/>
      </c>
      <c r="J17" s="230" t="str">
        <f ca="1">IF( ISNA( VLOOKUP( APIF_Import!$O17 &amp; APIF_Import!$J$1,Podesavanja!$AA$3:$AD$28, 4, 0)), "", VLOOKUP( APIF_Import!$C17, INDIRECT( "Lookup_" &amp; APIF_Import!$M17:$O17), VLOOKUP( APIF_Import!$O17 &amp; APIF_Import!$J$1,Podesavanja!$AA$3:$AD$28, 4, 0), 0))</f>
        <v/>
      </c>
      <c r="K17" s="230" t="str">
        <f ca="1">IF( ISNA( VLOOKUP( APIF_Import!$O17 &amp; APIF_Import!$K$1,Podesavanja!$AA$3:$AD$28, 4, 0)), "", VLOOKUP( APIF_Import!$C17, INDIRECT( "Lookup_" &amp; APIF_Import!$M17:$O17), VLOOKUP( APIF_Import!$O17 &amp; APIF_Import!$K$1,Podesavanja!$AA$3:$AD$28, 4, 0), 0))</f>
        <v/>
      </c>
      <c r="L17" s="230" t="str">
        <f ca="1">IF( ISNA( VLOOKUP( APIF_Import!$O17 &amp; APIF_Import!$L$1,Podesavanja!$AA$3:$AD$28, 4, 0)), "", VLOOKUP( APIF_Import!$C17, INDIRECT( "Lookup_" &amp; APIF_Import!$M17:$O17), VLOOKUP( APIF_Import!$O17 &amp; APIF_Import!$L$1,Podesavanja!$AA$3:$AD$28, 4, 0), 0))</f>
        <v/>
      </c>
      <c r="M17" s="230" t="str">
        <f ca="1">IF( ISNA( VLOOKUP( APIF_Import!$O17 &amp; APIF_Import!$M$1,Podesavanja!$AA$3:$AD$28, 4, 0)), "", VLOOKUP( APIF_Import!$C17, INDIRECT( "Lookup_" &amp; APIF_Import!$M17:$O17), VLOOKUP( APIF_Import!$O17 &amp; APIF_Import!$M$1,Podesavanja!$AA$3:$AD$28, 4, 0), 0))</f>
        <v/>
      </c>
      <c r="N17" s="8">
        <v>16</v>
      </c>
      <c r="O17" s="230" t="s">
        <v>2897</v>
      </c>
      <c r="P17" s="500" t="s">
        <v>22</v>
      </c>
    </row>
    <row r="18" spans="2:16">
      <c r="B18" s="44">
        <f ca="1">VLOOKUP( APIF_Import!$O18, Podesavanja!$N$3:$Q$9, 4, 0)</f>
        <v>1</v>
      </c>
      <c r="C18" s="229">
        <f ca="1">VLOOKUP( APIF_Import!$N18, Aop!$A$2:$P$456, 4, 0)</f>
        <v>17</v>
      </c>
      <c r="D18" s="230" t="str">
        <f ca="1">IF( ISNA( VLOOKUP( APIF_Import!$O18 &amp; APIF_Import!$D$1,Podesavanja!$AA$3:$AD$28, 4, 0)), "", SUBSTITUTE( VALUE( VLOOKUP( APIF_Import!$C18, INDIRECT( "Lookup_" &amp; APIF_Import!$O18), VLOOKUP( APIF_Import!$O18 &amp; APIF_Import!$D$1,Podesavanja!$AA$3:$AD$28, 4, 0), 0)), ".", ","))</f>
        <v>0</v>
      </c>
      <c r="E18" s="230">
        <f ca="1">IF( ISNA( VLOOKUP( APIF_Import!$O18 &amp; APIF_Import!$E$1,Podesavanja!$AA$3:$AD$28, 4, 0)), "", VLOOKUP( APIF_Import!$C18, INDIRECT( "Lookup_" &amp; APIF_Import!$O18), VLOOKUP( APIF_Import!$O18 &amp; APIF_Import!$E$1,Podesavanja!$AA$3:$AD$28, 4, 0), 0))</f>
        <v>0</v>
      </c>
      <c r="F18" s="230">
        <f ca="1">IF( ISNA( VLOOKUP( APIF_Import!$O18 &amp; APIF_Import!$F$1,Podesavanja!$AA$3:$AD$28, 4, 0)), "", VLOOKUP( APIF_Import!$C18, INDIRECT( "Lookup_" &amp; APIF_Import!$O18), VLOOKUP( APIF_Import!$O18 &amp; APIF_Import!$F$1,Podesavanja!$AA$3:$AD$28, 4, 0), 0))</f>
        <v>0</v>
      </c>
      <c r="G18" s="230">
        <f ca="1">IF( ISNA( VLOOKUP( APIF_Import!$O18 &amp; APIF_Import!$G$1,Podesavanja!$AA$3:$AD$28, 4, 0)), "", VLOOKUP( APIF_Import!$C18, INDIRECT( "Lookup_" &amp; APIF_Import!$O18), VLOOKUP( APIF_Import!$O18 &amp; APIF_Import!$G$1,Podesavanja!$AA$3:$AD$28, 4, 0), 0))</f>
        <v>0</v>
      </c>
      <c r="H18" s="230" t="str">
        <f ca="1">IF( ISNA( VLOOKUP( APIF_Import!$O18 &amp; APIF_Import!$H$1,Podesavanja!$AA$3:$AD$28, 4, 0)), "", VLOOKUP( APIF_Import!$C18, INDIRECT( "Lookup_" &amp; APIF_Import!$O18), VLOOKUP( APIF_Import!$O18 &amp; APIF_Import!$H$1,Podesavanja!$AA$3:$AD$28, 4, 0), 0))</f>
        <v/>
      </c>
      <c r="I18" s="230" t="str">
        <f ca="1">IF( ISNA( VLOOKUP( APIF_Import!$O18 &amp; APIF_Import!$I$1,Podesavanja!$AA$3:$AD$28, 4, 0)), "", VLOOKUP( APIF_Import!$C18, INDIRECT( "Lookup_" &amp; APIF_Import!$M18:$O18), VLOOKUP( APIF_Import!$O18 &amp; APIF_Import!$I$1,Podesavanja!$AA$3:$AD$28, 4, 0), 0))</f>
        <v/>
      </c>
      <c r="J18" s="230" t="str">
        <f ca="1">IF( ISNA( VLOOKUP( APIF_Import!$O18 &amp; APIF_Import!$J$1,Podesavanja!$AA$3:$AD$28, 4, 0)), "", VLOOKUP( APIF_Import!$C18, INDIRECT( "Lookup_" &amp; APIF_Import!$M18:$O18), VLOOKUP( APIF_Import!$O18 &amp; APIF_Import!$J$1,Podesavanja!$AA$3:$AD$28, 4, 0), 0))</f>
        <v/>
      </c>
      <c r="K18" s="230" t="str">
        <f ca="1">IF( ISNA( VLOOKUP( APIF_Import!$O18 &amp; APIF_Import!$K$1,Podesavanja!$AA$3:$AD$28, 4, 0)), "", VLOOKUP( APIF_Import!$C18, INDIRECT( "Lookup_" &amp; APIF_Import!$M18:$O18), VLOOKUP( APIF_Import!$O18 &amp; APIF_Import!$K$1,Podesavanja!$AA$3:$AD$28, 4, 0), 0))</f>
        <v/>
      </c>
      <c r="L18" s="230" t="str">
        <f ca="1">IF( ISNA( VLOOKUP( APIF_Import!$O18 &amp; APIF_Import!$L$1,Podesavanja!$AA$3:$AD$28, 4, 0)), "", VLOOKUP( APIF_Import!$C18, INDIRECT( "Lookup_" &amp; APIF_Import!$M18:$O18), VLOOKUP( APIF_Import!$O18 &amp; APIF_Import!$L$1,Podesavanja!$AA$3:$AD$28, 4, 0), 0))</f>
        <v/>
      </c>
      <c r="M18" s="230" t="str">
        <f ca="1">IF( ISNA( VLOOKUP( APIF_Import!$O18 &amp; APIF_Import!$M$1,Podesavanja!$AA$3:$AD$28, 4, 0)), "", VLOOKUP( APIF_Import!$C18, INDIRECT( "Lookup_" &amp; APIF_Import!$M18:$O18), VLOOKUP( APIF_Import!$O18 &amp; APIF_Import!$M$1,Podesavanja!$AA$3:$AD$28, 4, 0), 0))</f>
        <v/>
      </c>
      <c r="N18" s="8">
        <v>17</v>
      </c>
      <c r="O18" s="230" t="s">
        <v>2897</v>
      </c>
    </row>
    <row r="19" spans="2:16">
      <c r="B19" s="44">
        <f ca="1">VLOOKUP( APIF_Import!$O19, Podesavanja!$N$3:$Q$9, 4, 0)</f>
        <v>1</v>
      </c>
      <c r="C19" s="229">
        <f ca="1">VLOOKUP( APIF_Import!$N19, Aop!$A$2:$P$456, 4, 0)</f>
        <v>18</v>
      </c>
      <c r="D19" s="230" t="str">
        <f ca="1">IF( ISNA( VLOOKUP( APIF_Import!$O19 &amp; APIF_Import!$D$1,Podesavanja!$AA$3:$AD$28, 4, 0)), "", SUBSTITUTE( VALUE( VLOOKUP( APIF_Import!$C19, INDIRECT( "Lookup_" &amp; APIF_Import!$O19), VLOOKUP( APIF_Import!$O19 &amp; APIF_Import!$D$1,Podesavanja!$AA$3:$AD$28, 4, 0), 0)), ".", ","))</f>
        <v>0</v>
      </c>
      <c r="E19" s="230">
        <f ca="1">IF( ISNA( VLOOKUP( APIF_Import!$O19 &amp; APIF_Import!$E$1,Podesavanja!$AA$3:$AD$28, 4, 0)), "", VLOOKUP( APIF_Import!$C19, INDIRECT( "Lookup_" &amp; APIF_Import!$O19), VLOOKUP( APIF_Import!$O19 &amp; APIF_Import!$E$1,Podesavanja!$AA$3:$AD$28, 4, 0), 0))</f>
        <v>0</v>
      </c>
      <c r="F19" s="230">
        <f ca="1">IF( ISNA( VLOOKUP( APIF_Import!$O19 &amp; APIF_Import!$F$1,Podesavanja!$AA$3:$AD$28, 4, 0)), "", VLOOKUP( APIF_Import!$C19, INDIRECT( "Lookup_" &amp; APIF_Import!$O19), VLOOKUP( APIF_Import!$O19 &amp; APIF_Import!$F$1,Podesavanja!$AA$3:$AD$28, 4, 0), 0))</f>
        <v>0</v>
      </c>
      <c r="G19" s="230">
        <f ca="1">IF( ISNA( VLOOKUP( APIF_Import!$O19 &amp; APIF_Import!$G$1,Podesavanja!$AA$3:$AD$28, 4, 0)), "", VLOOKUP( APIF_Import!$C19, INDIRECT( "Lookup_" &amp; APIF_Import!$O19), VLOOKUP( APIF_Import!$O19 &amp; APIF_Import!$G$1,Podesavanja!$AA$3:$AD$28, 4, 0), 0))</f>
        <v>0</v>
      </c>
      <c r="H19" s="230" t="str">
        <f ca="1">IF( ISNA( VLOOKUP( APIF_Import!$O19 &amp; APIF_Import!$H$1,Podesavanja!$AA$3:$AD$28, 4, 0)), "", VLOOKUP( APIF_Import!$C19, INDIRECT( "Lookup_" &amp; APIF_Import!$O19), VLOOKUP( APIF_Import!$O19 &amp; APIF_Import!$H$1,Podesavanja!$AA$3:$AD$28, 4, 0), 0))</f>
        <v/>
      </c>
      <c r="I19" s="230" t="str">
        <f ca="1">IF( ISNA( VLOOKUP( APIF_Import!$O19 &amp; APIF_Import!$I$1,Podesavanja!$AA$3:$AD$28, 4, 0)), "", VLOOKUP( APIF_Import!$C19, INDIRECT( "Lookup_" &amp; APIF_Import!$M19:$O19), VLOOKUP( APIF_Import!$O19 &amp; APIF_Import!$I$1,Podesavanja!$AA$3:$AD$28, 4, 0), 0))</f>
        <v/>
      </c>
      <c r="J19" s="230" t="str">
        <f ca="1">IF( ISNA( VLOOKUP( APIF_Import!$O19 &amp; APIF_Import!$J$1,Podesavanja!$AA$3:$AD$28, 4, 0)), "", VLOOKUP( APIF_Import!$C19, INDIRECT( "Lookup_" &amp; APIF_Import!$M19:$O19), VLOOKUP( APIF_Import!$O19 &amp; APIF_Import!$J$1,Podesavanja!$AA$3:$AD$28, 4, 0), 0))</f>
        <v/>
      </c>
      <c r="K19" s="230" t="str">
        <f ca="1">IF( ISNA( VLOOKUP( APIF_Import!$O19 &amp; APIF_Import!$K$1,Podesavanja!$AA$3:$AD$28, 4, 0)), "", VLOOKUP( APIF_Import!$C19, INDIRECT( "Lookup_" &amp; APIF_Import!$M19:$O19), VLOOKUP( APIF_Import!$O19 &amp; APIF_Import!$K$1,Podesavanja!$AA$3:$AD$28, 4, 0), 0))</f>
        <v/>
      </c>
      <c r="L19" s="230" t="str">
        <f ca="1">IF( ISNA( VLOOKUP( APIF_Import!$O19 &amp; APIF_Import!$L$1,Podesavanja!$AA$3:$AD$28, 4, 0)), "", VLOOKUP( APIF_Import!$C19, INDIRECT( "Lookup_" &amp; APIF_Import!$M19:$O19), VLOOKUP( APIF_Import!$O19 &amp; APIF_Import!$L$1,Podesavanja!$AA$3:$AD$28, 4, 0), 0))</f>
        <v/>
      </c>
      <c r="M19" s="230" t="str">
        <f ca="1">IF( ISNA( VLOOKUP( APIF_Import!$O19 &amp; APIF_Import!$M$1,Podesavanja!$AA$3:$AD$28, 4, 0)), "", VLOOKUP( APIF_Import!$C19, INDIRECT( "Lookup_" &amp; APIF_Import!$M19:$O19), VLOOKUP( APIF_Import!$O19 &amp; APIF_Import!$M$1,Podesavanja!$AA$3:$AD$28, 4, 0), 0))</f>
        <v/>
      </c>
      <c r="N19" s="8">
        <v>18</v>
      </c>
      <c r="O19" s="230" t="s">
        <v>2897</v>
      </c>
    </row>
    <row r="20" spans="2:16">
      <c r="B20" s="44">
        <f ca="1">VLOOKUP( APIF_Import!$O20, Podesavanja!$N$3:$Q$9, 4, 0)</f>
        <v>1</v>
      </c>
      <c r="C20" s="229">
        <f ca="1">VLOOKUP( APIF_Import!$N20, Aop!$A$2:$P$456, 4, 0)</f>
        <v>19</v>
      </c>
      <c r="D20" s="230" t="str">
        <f ca="1">IF( ISNA( VLOOKUP( APIF_Import!$O20 &amp; APIF_Import!$D$1,Podesavanja!$AA$3:$AD$28, 4, 0)), "", SUBSTITUTE( VALUE( VLOOKUP( APIF_Import!$C20, INDIRECT( "Lookup_" &amp; APIF_Import!$O20), VLOOKUP( APIF_Import!$O20 &amp; APIF_Import!$D$1,Podesavanja!$AA$3:$AD$28, 4, 0), 0)), ".", ","))</f>
        <v>0</v>
      </c>
      <c r="E20" s="230">
        <f ca="1">IF( ISNA( VLOOKUP( APIF_Import!$O20 &amp; APIF_Import!$E$1,Podesavanja!$AA$3:$AD$28, 4, 0)), "", VLOOKUP( APIF_Import!$C20, INDIRECT( "Lookup_" &amp; APIF_Import!$O20), VLOOKUP( APIF_Import!$O20 &amp; APIF_Import!$E$1,Podesavanja!$AA$3:$AD$28, 4, 0), 0))</f>
        <v>0</v>
      </c>
      <c r="F20" s="230">
        <f ca="1">IF( ISNA( VLOOKUP( APIF_Import!$O20 &amp; APIF_Import!$F$1,Podesavanja!$AA$3:$AD$28, 4, 0)), "", VLOOKUP( APIF_Import!$C20, INDIRECT( "Lookup_" &amp; APIF_Import!$O20), VLOOKUP( APIF_Import!$O20 &amp; APIF_Import!$F$1,Podesavanja!$AA$3:$AD$28, 4, 0), 0))</f>
        <v>0</v>
      </c>
      <c r="G20" s="230">
        <f ca="1">IF( ISNA( VLOOKUP( APIF_Import!$O20 &amp; APIF_Import!$G$1,Podesavanja!$AA$3:$AD$28, 4, 0)), "", VLOOKUP( APIF_Import!$C20, INDIRECT( "Lookup_" &amp; APIF_Import!$O20), VLOOKUP( APIF_Import!$O20 &amp; APIF_Import!$G$1,Podesavanja!$AA$3:$AD$28, 4, 0), 0))</f>
        <v>0</v>
      </c>
      <c r="H20" s="230" t="str">
        <f ca="1">IF( ISNA( VLOOKUP( APIF_Import!$O20 &amp; APIF_Import!$H$1,Podesavanja!$AA$3:$AD$28, 4, 0)), "", VLOOKUP( APIF_Import!$C20, INDIRECT( "Lookup_" &amp; APIF_Import!$O20), VLOOKUP( APIF_Import!$O20 &amp; APIF_Import!$H$1,Podesavanja!$AA$3:$AD$28, 4, 0), 0))</f>
        <v/>
      </c>
      <c r="I20" s="230" t="str">
        <f ca="1">IF( ISNA( VLOOKUP( APIF_Import!$O20 &amp; APIF_Import!$I$1,Podesavanja!$AA$3:$AD$28, 4, 0)), "", VLOOKUP( APIF_Import!$C20, INDIRECT( "Lookup_" &amp; APIF_Import!$M20:$O20), VLOOKUP( APIF_Import!$O20 &amp; APIF_Import!$I$1,Podesavanja!$AA$3:$AD$28, 4, 0), 0))</f>
        <v/>
      </c>
      <c r="J20" s="230" t="str">
        <f ca="1">IF( ISNA( VLOOKUP( APIF_Import!$O20 &amp; APIF_Import!$J$1,Podesavanja!$AA$3:$AD$28, 4, 0)), "", VLOOKUP( APIF_Import!$C20, INDIRECT( "Lookup_" &amp; APIF_Import!$M20:$O20), VLOOKUP( APIF_Import!$O20 &amp; APIF_Import!$J$1,Podesavanja!$AA$3:$AD$28, 4, 0), 0))</f>
        <v/>
      </c>
      <c r="K20" s="230" t="str">
        <f ca="1">IF( ISNA( VLOOKUP( APIF_Import!$O20 &amp; APIF_Import!$K$1,Podesavanja!$AA$3:$AD$28, 4, 0)), "", VLOOKUP( APIF_Import!$C20, INDIRECT( "Lookup_" &amp; APIF_Import!$M20:$O20), VLOOKUP( APIF_Import!$O20 &amp; APIF_Import!$K$1,Podesavanja!$AA$3:$AD$28, 4, 0), 0))</f>
        <v/>
      </c>
      <c r="L20" s="230" t="str">
        <f ca="1">IF( ISNA( VLOOKUP( APIF_Import!$O20 &amp; APIF_Import!$L$1,Podesavanja!$AA$3:$AD$28, 4, 0)), "", VLOOKUP( APIF_Import!$C20, INDIRECT( "Lookup_" &amp; APIF_Import!$M20:$O20), VLOOKUP( APIF_Import!$O20 &amp; APIF_Import!$L$1,Podesavanja!$AA$3:$AD$28, 4, 0), 0))</f>
        <v/>
      </c>
      <c r="M20" s="230" t="str">
        <f ca="1">IF( ISNA( VLOOKUP( APIF_Import!$O20 &amp; APIF_Import!$M$1,Podesavanja!$AA$3:$AD$28, 4, 0)), "", VLOOKUP( APIF_Import!$C20, INDIRECT( "Lookup_" &amp; APIF_Import!$M20:$O20), VLOOKUP( APIF_Import!$O20 &amp; APIF_Import!$M$1,Podesavanja!$AA$3:$AD$28, 4, 0), 0))</f>
        <v/>
      </c>
      <c r="N20" s="8">
        <v>19</v>
      </c>
      <c r="O20" s="230" t="s">
        <v>2897</v>
      </c>
    </row>
    <row r="21" spans="2:16">
      <c r="B21" s="44">
        <f ca="1">VLOOKUP( APIF_Import!$O21, Podesavanja!$N$3:$Q$9, 4, 0)</f>
        <v>1</v>
      </c>
      <c r="C21" s="229">
        <f ca="1">VLOOKUP( APIF_Import!$N21, Aop!$A$2:$P$456, 4, 0)</f>
        <v>20</v>
      </c>
      <c r="D21" s="230" t="str">
        <f ca="1">IF( ISNA( VLOOKUP( APIF_Import!$O21 &amp; APIF_Import!$D$1,Podesavanja!$AA$3:$AD$28, 4, 0)), "", SUBSTITUTE( VALUE( VLOOKUP( APIF_Import!$C21, INDIRECT( "Lookup_" &amp; APIF_Import!$O21), VLOOKUP( APIF_Import!$O21 &amp; APIF_Import!$D$1,Podesavanja!$AA$3:$AD$28, 4, 0), 0)), ".", ","))</f>
        <v>0</v>
      </c>
      <c r="E21" s="230">
        <f ca="1">IF( ISNA( VLOOKUP( APIF_Import!$O21 &amp; APIF_Import!$E$1,Podesavanja!$AA$3:$AD$28, 4, 0)), "", VLOOKUP( APIF_Import!$C21, INDIRECT( "Lookup_" &amp; APIF_Import!$O21), VLOOKUP( APIF_Import!$O21 &amp; APIF_Import!$E$1,Podesavanja!$AA$3:$AD$28, 4, 0), 0))</f>
        <v>0</v>
      </c>
      <c r="F21" s="230">
        <f ca="1">IF( ISNA( VLOOKUP( APIF_Import!$O21 &amp; APIF_Import!$F$1,Podesavanja!$AA$3:$AD$28, 4, 0)), "", VLOOKUP( APIF_Import!$C21, INDIRECT( "Lookup_" &amp; APIF_Import!$O21), VLOOKUP( APIF_Import!$O21 &amp; APIF_Import!$F$1,Podesavanja!$AA$3:$AD$28, 4, 0), 0))</f>
        <v>0</v>
      </c>
      <c r="G21" s="230">
        <f ca="1">IF( ISNA( VLOOKUP( APIF_Import!$O21 &amp; APIF_Import!$G$1,Podesavanja!$AA$3:$AD$28, 4, 0)), "", VLOOKUP( APIF_Import!$C21, INDIRECT( "Lookup_" &amp; APIF_Import!$O21), VLOOKUP( APIF_Import!$O21 &amp; APIF_Import!$G$1,Podesavanja!$AA$3:$AD$28, 4, 0), 0))</f>
        <v>0</v>
      </c>
      <c r="H21" s="230" t="str">
        <f ca="1">IF( ISNA( VLOOKUP( APIF_Import!$O21 &amp; APIF_Import!$H$1,Podesavanja!$AA$3:$AD$28, 4, 0)), "", VLOOKUP( APIF_Import!$C21, INDIRECT( "Lookup_" &amp; APIF_Import!$O21), VLOOKUP( APIF_Import!$O21 &amp; APIF_Import!$H$1,Podesavanja!$AA$3:$AD$28, 4, 0), 0))</f>
        <v/>
      </c>
      <c r="I21" s="230" t="str">
        <f ca="1">IF( ISNA( VLOOKUP( APIF_Import!$O21 &amp; APIF_Import!$I$1,Podesavanja!$AA$3:$AD$28, 4, 0)), "", VLOOKUP( APIF_Import!$C21, INDIRECT( "Lookup_" &amp; APIF_Import!$M21:$O21), VLOOKUP( APIF_Import!$O21 &amp; APIF_Import!$I$1,Podesavanja!$AA$3:$AD$28, 4, 0), 0))</f>
        <v/>
      </c>
      <c r="J21" s="230" t="str">
        <f ca="1">IF( ISNA( VLOOKUP( APIF_Import!$O21 &amp; APIF_Import!$J$1,Podesavanja!$AA$3:$AD$28, 4, 0)), "", VLOOKUP( APIF_Import!$C21, INDIRECT( "Lookup_" &amp; APIF_Import!$M21:$O21), VLOOKUP( APIF_Import!$O21 &amp; APIF_Import!$J$1,Podesavanja!$AA$3:$AD$28, 4, 0), 0))</f>
        <v/>
      </c>
      <c r="K21" s="230" t="str">
        <f ca="1">IF( ISNA( VLOOKUP( APIF_Import!$O21 &amp; APIF_Import!$K$1,Podesavanja!$AA$3:$AD$28, 4, 0)), "", VLOOKUP( APIF_Import!$C21, INDIRECT( "Lookup_" &amp; APIF_Import!$M21:$O21), VLOOKUP( APIF_Import!$O21 &amp; APIF_Import!$K$1,Podesavanja!$AA$3:$AD$28, 4, 0), 0))</f>
        <v/>
      </c>
      <c r="L21" s="230" t="str">
        <f ca="1">IF( ISNA( VLOOKUP( APIF_Import!$O21 &amp; APIF_Import!$L$1,Podesavanja!$AA$3:$AD$28, 4, 0)), "", VLOOKUP( APIF_Import!$C21, INDIRECT( "Lookup_" &amp; APIF_Import!$M21:$O21), VLOOKUP( APIF_Import!$O21 &amp; APIF_Import!$L$1,Podesavanja!$AA$3:$AD$28, 4, 0), 0))</f>
        <v/>
      </c>
      <c r="M21" s="230" t="str">
        <f ca="1">IF( ISNA( VLOOKUP( APIF_Import!$O21 &amp; APIF_Import!$M$1,Podesavanja!$AA$3:$AD$28, 4, 0)), "", VLOOKUP( APIF_Import!$C21, INDIRECT( "Lookup_" &amp; APIF_Import!$M21:$O21), VLOOKUP( APIF_Import!$O21 &amp; APIF_Import!$M$1,Podesavanja!$AA$3:$AD$28, 4, 0), 0))</f>
        <v/>
      </c>
      <c r="N21" s="8">
        <v>20</v>
      </c>
      <c r="O21" s="230" t="s">
        <v>2897</v>
      </c>
    </row>
    <row r="22" spans="2:16">
      <c r="B22" s="44">
        <f ca="1">VLOOKUP( APIF_Import!$O22, Podesavanja!$N$3:$Q$9, 4, 0)</f>
        <v>1</v>
      </c>
      <c r="C22" s="229">
        <f ca="1">VLOOKUP( APIF_Import!$N22, Aop!$A$2:$P$456, 4, 0)</f>
        <v>21</v>
      </c>
      <c r="D22" s="230" t="str">
        <f ca="1">IF( ISNA( VLOOKUP( APIF_Import!$O22 &amp; APIF_Import!$D$1,Podesavanja!$AA$3:$AD$28, 4, 0)), "", SUBSTITUTE( VALUE( VLOOKUP( APIF_Import!$C22, INDIRECT( "Lookup_" &amp; APIF_Import!$O22), VLOOKUP( APIF_Import!$O22 &amp; APIF_Import!$D$1,Podesavanja!$AA$3:$AD$28, 4, 0), 0)), ".", ","))</f>
        <v>0</v>
      </c>
      <c r="E22" s="230">
        <f ca="1">IF( ISNA( VLOOKUP( APIF_Import!$O22 &amp; APIF_Import!$E$1,Podesavanja!$AA$3:$AD$28, 4, 0)), "", VLOOKUP( APIF_Import!$C22, INDIRECT( "Lookup_" &amp; APIF_Import!$O22), VLOOKUP( APIF_Import!$O22 &amp; APIF_Import!$E$1,Podesavanja!$AA$3:$AD$28, 4, 0), 0))</f>
        <v>0</v>
      </c>
      <c r="F22" s="230">
        <f ca="1">IF( ISNA( VLOOKUP( APIF_Import!$O22 &amp; APIF_Import!$F$1,Podesavanja!$AA$3:$AD$28, 4, 0)), "", VLOOKUP( APIF_Import!$C22, INDIRECT( "Lookup_" &amp; APIF_Import!$O22), VLOOKUP( APIF_Import!$O22 &amp; APIF_Import!$F$1,Podesavanja!$AA$3:$AD$28, 4, 0), 0))</f>
        <v>0</v>
      </c>
      <c r="G22" s="230">
        <f ca="1">IF( ISNA( VLOOKUP( APIF_Import!$O22 &amp; APIF_Import!$G$1,Podesavanja!$AA$3:$AD$28, 4, 0)), "", VLOOKUP( APIF_Import!$C22, INDIRECT( "Lookup_" &amp; APIF_Import!$O22), VLOOKUP( APIF_Import!$O22 &amp; APIF_Import!$G$1,Podesavanja!$AA$3:$AD$28, 4, 0), 0))</f>
        <v>0</v>
      </c>
      <c r="H22" s="230" t="str">
        <f ca="1">IF( ISNA( VLOOKUP( APIF_Import!$O22 &amp; APIF_Import!$H$1,Podesavanja!$AA$3:$AD$28, 4, 0)), "", VLOOKUP( APIF_Import!$C22, INDIRECT( "Lookup_" &amp; APIF_Import!$O22), VLOOKUP( APIF_Import!$O22 &amp; APIF_Import!$H$1,Podesavanja!$AA$3:$AD$28, 4, 0), 0))</f>
        <v/>
      </c>
      <c r="I22" s="230" t="str">
        <f ca="1">IF( ISNA( VLOOKUP( APIF_Import!$O22 &amp; APIF_Import!$I$1,Podesavanja!$AA$3:$AD$28, 4, 0)), "", VLOOKUP( APIF_Import!$C22, INDIRECT( "Lookup_" &amp; APIF_Import!$M22:$O22), VLOOKUP( APIF_Import!$O22 &amp; APIF_Import!$I$1,Podesavanja!$AA$3:$AD$28, 4, 0), 0))</f>
        <v/>
      </c>
      <c r="J22" s="230" t="str">
        <f ca="1">IF( ISNA( VLOOKUP( APIF_Import!$O22 &amp; APIF_Import!$J$1,Podesavanja!$AA$3:$AD$28, 4, 0)), "", VLOOKUP( APIF_Import!$C22, INDIRECT( "Lookup_" &amp; APIF_Import!$M22:$O22), VLOOKUP( APIF_Import!$O22 &amp; APIF_Import!$J$1,Podesavanja!$AA$3:$AD$28, 4, 0), 0))</f>
        <v/>
      </c>
      <c r="K22" s="230" t="str">
        <f ca="1">IF( ISNA( VLOOKUP( APIF_Import!$O22 &amp; APIF_Import!$K$1,Podesavanja!$AA$3:$AD$28, 4, 0)), "", VLOOKUP( APIF_Import!$C22, INDIRECT( "Lookup_" &amp; APIF_Import!$M22:$O22), VLOOKUP( APIF_Import!$O22 &amp; APIF_Import!$K$1,Podesavanja!$AA$3:$AD$28, 4, 0), 0))</f>
        <v/>
      </c>
      <c r="L22" s="230" t="str">
        <f ca="1">IF( ISNA( VLOOKUP( APIF_Import!$O22 &amp; APIF_Import!$L$1,Podesavanja!$AA$3:$AD$28, 4, 0)), "", VLOOKUP( APIF_Import!$C22, INDIRECT( "Lookup_" &amp; APIF_Import!$M22:$O22), VLOOKUP( APIF_Import!$O22 &amp; APIF_Import!$L$1,Podesavanja!$AA$3:$AD$28, 4, 0), 0))</f>
        <v/>
      </c>
      <c r="M22" s="230" t="str">
        <f ca="1">IF( ISNA( VLOOKUP( APIF_Import!$O22 &amp; APIF_Import!$M$1,Podesavanja!$AA$3:$AD$28, 4, 0)), "", VLOOKUP( APIF_Import!$C22, INDIRECT( "Lookup_" &amp; APIF_Import!$M22:$O22), VLOOKUP( APIF_Import!$O22 &amp; APIF_Import!$M$1,Podesavanja!$AA$3:$AD$28, 4, 0), 0))</f>
        <v/>
      </c>
      <c r="N22" s="8">
        <v>21</v>
      </c>
      <c r="O22" s="230" t="s">
        <v>2897</v>
      </c>
    </row>
    <row r="23" spans="2:16">
      <c r="B23" s="44">
        <f ca="1">VLOOKUP( APIF_Import!$O23, Podesavanja!$N$3:$Q$9, 4, 0)</f>
        <v>1</v>
      </c>
      <c r="C23" s="229">
        <f ca="1">VLOOKUP( APIF_Import!$N23, Aop!$A$2:$P$456, 4, 0)</f>
        <v>22</v>
      </c>
      <c r="D23" s="230" t="str">
        <f ca="1">IF( ISNA( VLOOKUP( APIF_Import!$O23 &amp; APIF_Import!$D$1,Podesavanja!$AA$3:$AD$28, 4, 0)), "", SUBSTITUTE( VALUE( VLOOKUP( APIF_Import!$C23, INDIRECT( "Lookup_" &amp; APIF_Import!$O23), VLOOKUP( APIF_Import!$O23 &amp; APIF_Import!$D$1,Podesavanja!$AA$3:$AD$28, 4, 0), 0)), ".", ","))</f>
        <v>45642122</v>
      </c>
      <c r="E23" s="230">
        <f ca="1">IF( ISNA( VLOOKUP( APIF_Import!$O23 &amp; APIF_Import!$E$1,Podesavanja!$AA$3:$AD$28, 4, 0)), "", VLOOKUP( APIF_Import!$C23, INDIRECT( "Lookup_" &amp; APIF_Import!$O23), VLOOKUP( APIF_Import!$O23 &amp; APIF_Import!$E$1,Podesavanja!$AA$3:$AD$28, 4, 0), 0))</f>
        <v>17085000</v>
      </c>
      <c r="F23" s="230">
        <f ca="1">IF( ISNA( VLOOKUP( APIF_Import!$O23 &amp; APIF_Import!$F$1,Podesavanja!$AA$3:$AD$28, 4, 0)), "", VLOOKUP( APIF_Import!$C23, INDIRECT( "Lookup_" &amp; APIF_Import!$O23), VLOOKUP( APIF_Import!$O23 &amp; APIF_Import!$F$1,Podesavanja!$AA$3:$AD$28, 4, 0), 0))</f>
        <v>28557122</v>
      </c>
      <c r="G23" s="230">
        <f ca="1">IF( ISNA( VLOOKUP( APIF_Import!$O23 &amp; APIF_Import!$G$1,Podesavanja!$AA$3:$AD$28, 4, 0)), "", VLOOKUP( APIF_Import!$C23, INDIRECT( "Lookup_" &amp; APIF_Import!$O23), VLOOKUP( APIF_Import!$O23 &amp; APIF_Import!$G$1,Podesavanja!$AA$3:$AD$28, 4, 0), 0))</f>
        <v>42045620</v>
      </c>
      <c r="H23" s="230" t="str">
        <f ca="1">IF( ISNA( VLOOKUP( APIF_Import!$O23 &amp; APIF_Import!$H$1,Podesavanja!$AA$3:$AD$28, 4, 0)), "", VLOOKUP( APIF_Import!$C23, INDIRECT( "Lookup_" &amp; APIF_Import!$O23), VLOOKUP( APIF_Import!$O23 &amp; APIF_Import!$H$1,Podesavanja!$AA$3:$AD$28, 4, 0), 0))</f>
        <v/>
      </c>
      <c r="I23" s="230" t="str">
        <f ca="1">IF( ISNA( VLOOKUP( APIF_Import!$O23 &amp; APIF_Import!$I$1,Podesavanja!$AA$3:$AD$28, 4, 0)), "", VLOOKUP( APIF_Import!$C23, INDIRECT( "Lookup_" &amp; APIF_Import!$M23:$O23), VLOOKUP( APIF_Import!$O23 &amp; APIF_Import!$I$1,Podesavanja!$AA$3:$AD$28, 4, 0), 0))</f>
        <v/>
      </c>
      <c r="J23" s="230" t="str">
        <f ca="1">IF( ISNA( VLOOKUP( APIF_Import!$O23 &amp; APIF_Import!$J$1,Podesavanja!$AA$3:$AD$28, 4, 0)), "", VLOOKUP( APIF_Import!$C23, INDIRECT( "Lookup_" &amp; APIF_Import!$M23:$O23), VLOOKUP( APIF_Import!$O23 &amp; APIF_Import!$J$1,Podesavanja!$AA$3:$AD$28, 4, 0), 0))</f>
        <v/>
      </c>
      <c r="K23" s="230" t="str">
        <f ca="1">IF( ISNA( VLOOKUP( APIF_Import!$O23 &amp; APIF_Import!$K$1,Podesavanja!$AA$3:$AD$28, 4, 0)), "", VLOOKUP( APIF_Import!$C23, INDIRECT( "Lookup_" &amp; APIF_Import!$M23:$O23), VLOOKUP( APIF_Import!$O23 &amp; APIF_Import!$K$1,Podesavanja!$AA$3:$AD$28, 4, 0), 0))</f>
        <v/>
      </c>
      <c r="L23" s="230" t="str">
        <f ca="1">IF( ISNA( VLOOKUP( APIF_Import!$O23 &amp; APIF_Import!$L$1,Podesavanja!$AA$3:$AD$28, 4, 0)), "", VLOOKUP( APIF_Import!$C23, INDIRECT( "Lookup_" &amp; APIF_Import!$M23:$O23), VLOOKUP( APIF_Import!$O23 &amp; APIF_Import!$L$1,Podesavanja!$AA$3:$AD$28, 4, 0), 0))</f>
        <v/>
      </c>
      <c r="M23" s="230" t="str">
        <f ca="1">IF( ISNA( VLOOKUP( APIF_Import!$O23 &amp; APIF_Import!$M$1,Podesavanja!$AA$3:$AD$28, 4, 0)), "", VLOOKUP( APIF_Import!$C23, INDIRECT( "Lookup_" &amp; APIF_Import!$M23:$O23), VLOOKUP( APIF_Import!$O23 &amp; APIF_Import!$M$1,Podesavanja!$AA$3:$AD$28, 4, 0), 0))</f>
        <v/>
      </c>
      <c r="N23" s="8">
        <v>22</v>
      </c>
      <c r="O23" s="230" t="s">
        <v>2897</v>
      </c>
    </row>
    <row r="24" spans="2:16">
      <c r="B24" s="44">
        <f ca="1">VLOOKUP( APIF_Import!$O24, Podesavanja!$N$3:$Q$9, 4, 0)</f>
        <v>1</v>
      </c>
      <c r="C24" s="229">
        <f ca="1">VLOOKUP( APIF_Import!$N24, Aop!$A$2:$P$456, 4, 0)</f>
        <v>23</v>
      </c>
      <c r="D24" s="230" t="str">
        <f ca="1">IF( ISNA( VLOOKUP( APIF_Import!$O24 &amp; APIF_Import!$D$1,Podesavanja!$AA$3:$AD$28, 4, 0)), "", SUBSTITUTE( VALUE( VLOOKUP( APIF_Import!$C24, INDIRECT( "Lookup_" &amp; APIF_Import!$O24), VLOOKUP( APIF_Import!$O24 &amp; APIF_Import!$D$1,Podesavanja!$AA$3:$AD$28, 4, 0), 0)), ".", ","))</f>
        <v>0</v>
      </c>
      <c r="E24" s="230">
        <f ca="1">IF( ISNA( VLOOKUP( APIF_Import!$O24 &amp; APIF_Import!$E$1,Podesavanja!$AA$3:$AD$28, 4, 0)), "", VLOOKUP( APIF_Import!$C24, INDIRECT( "Lookup_" &amp; APIF_Import!$O24), VLOOKUP( APIF_Import!$O24 &amp; APIF_Import!$E$1,Podesavanja!$AA$3:$AD$28, 4, 0), 0))</f>
        <v>0</v>
      </c>
      <c r="F24" s="230">
        <f ca="1">IF( ISNA( VLOOKUP( APIF_Import!$O24 &amp; APIF_Import!$F$1,Podesavanja!$AA$3:$AD$28, 4, 0)), "", VLOOKUP( APIF_Import!$C24, INDIRECT( "Lookup_" &amp; APIF_Import!$O24), VLOOKUP( APIF_Import!$O24 &amp; APIF_Import!$F$1,Podesavanja!$AA$3:$AD$28, 4, 0), 0))</f>
        <v>0</v>
      </c>
      <c r="G24" s="230">
        <f ca="1">IF( ISNA( VLOOKUP( APIF_Import!$O24 &amp; APIF_Import!$G$1,Podesavanja!$AA$3:$AD$28, 4, 0)), "", VLOOKUP( APIF_Import!$C24, INDIRECT( "Lookup_" &amp; APIF_Import!$O24), VLOOKUP( APIF_Import!$O24 &amp; APIF_Import!$G$1,Podesavanja!$AA$3:$AD$28, 4, 0), 0))</f>
        <v>0</v>
      </c>
      <c r="H24" s="230" t="str">
        <f ca="1">IF( ISNA( VLOOKUP( APIF_Import!$O24 &amp; APIF_Import!$H$1,Podesavanja!$AA$3:$AD$28, 4, 0)), "", VLOOKUP( APIF_Import!$C24, INDIRECT( "Lookup_" &amp; APIF_Import!$O24), VLOOKUP( APIF_Import!$O24 &amp; APIF_Import!$H$1,Podesavanja!$AA$3:$AD$28, 4, 0), 0))</f>
        <v/>
      </c>
      <c r="I24" s="230" t="str">
        <f ca="1">IF( ISNA( VLOOKUP( APIF_Import!$O24 &amp; APIF_Import!$I$1,Podesavanja!$AA$3:$AD$28, 4, 0)), "", VLOOKUP( APIF_Import!$C24, INDIRECT( "Lookup_" &amp; APIF_Import!$M24:$O24), VLOOKUP( APIF_Import!$O24 &amp; APIF_Import!$I$1,Podesavanja!$AA$3:$AD$28, 4, 0), 0))</f>
        <v/>
      </c>
      <c r="J24" s="230" t="str">
        <f ca="1">IF( ISNA( VLOOKUP( APIF_Import!$O24 &amp; APIF_Import!$J$1,Podesavanja!$AA$3:$AD$28, 4, 0)), "", VLOOKUP( APIF_Import!$C24, INDIRECT( "Lookup_" &amp; APIF_Import!$M24:$O24), VLOOKUP( APIF_Import!$O24 &amp; APIF_Import!$J$1,Podesavanja!$AA$3:$AD$28, 4, 0), 0))</f>
        <v/>
      </c>
      <c r="K24" s="230" t="str">
        <f ca="1">IF( ISNA( VLOOKUP( APIF_Import!$O24 &amp; APIF_Import!$K$1,Podesavanja!$AA$3:$AD$28, 4, 0)), "", VLOOKUP( APIF_Import!$C24, INDIRECT( "Lookup_" &amp; APIF_Import!$M24:$O24), VLOOKUP( APIF_Import!$O24 &amp; APIF_Import!$K$1,Podesavanja!$AA$3:$AD$28, 4, 0), 0))</f>
        <v/>
      </c>
      <c r="L24" s="230" t="str">
        <f ca="1">IF( ISNA( VLOOKUP( APIF_Import!$O24 &amp; APIF_Import!$L$1,Podesavanja!$AA$3:$AD$28, 4, 0)), "", VLOOKUP( APIF_Import!$C24, INDIRECT( "Lookup_" &amp; APIF_Import!$M24:$O24), VLOOKUP( APIF_Import!$O24 &amp; APIF_Import!$L$1,Podesavanja!$AA$3:$AD$28, 4, 0), 0))</f>
        <v/>
      </c>
      <c r="M24" s="230" t="str">
        <f ca="1">IF( ISNA( VLOOKUP( APIF_Import!$O24 &amp; APIF_Import!$M$1,Podesavanja!$AA$3:$AD$28, 4, 0)), "", VLOOKUP( APIF_Import!$C24, INDIRECT( "Lookup_" &amp; APIF_Import!$M24:$O24), VLOOKUP( APIF_Import!$O24 &amp; APIF_Import!$M$1,Podesavanja!$AA$3:$AD$28, 4, 0), 0))</f>
        <v/>
      </c>
      <c r="N24" s="8">
        <v>23</v>
      </c>
      <c r="O24" s="230" t="s">
        <v>2897</v>
      </c>
    </row>
    <row r="25" spans="2:16">
      <c r="B25" s="44">
        <f ca="1">VLOOKUP( APIF_Import!$O25, Podesavanja!$N$3:$Q$9, 4, 0)</f>
        <v>1</v>
      </c>
      <c r="C25" s="229">
        <f ca="1">VLOOKUP( APIF_Import!$N25, Aop!$A$2:$P$456, 4, 0)</f>
        <v>24</v>
      </c>
      <c r="D25" s="230" t="str">
        <f ca="1">IF( ISNA( VLOOKUP( APIF_Import!$O25 &amp; APIF_Import!$D$1,Podesavanja!$AA$3:$AD$28, 4, 0)), "", SUBSTITUTE( VALUE( VLOOKUP( APIF_Import!$C25, INDIRECT( "Lookup_" &amp; APIF_Import!$O25), VLOOKUP( APIF_Import!$O25 &amp; APIF_Import!$D$1,Podesavanja!$AA$3:$AD$28, 4, 0), 0)), ".", ","))</f>
        <v>44573622</v>
      </c>
      <c r="E25" s="230">
        <f ca="1">IF( ISNA( VLOOKUP( APIF_Import!$O25 &amp; APIF_Import!$E$1,Podesavanja!$AA$3:$AD$28, 4, 0)), "", VLOOKUP( APIF_Import!$C25, INDIRECT( "Lookup_" &amp; APIF_Import!$O25), VLOOKUP( APIF_Import!$O25 &amp; APIF_Import!$E$1,Podesavanja!$AA$3:$AD$28, 4, 0), 0))</f>
        <v>17085000</v>
      </c>
      <c r="F25" s="230">
        <f ca="1">IF( ISNA( VLOOKUP( APIF_Import!$O25 &amp; APIF_Import!$F$1,Podesavanja!$AA$3:$AD$28, 4, 0)), "", VLOOKUP( APIF_Import!$C25, INDIRECT( "Lookup_" &amp; APIF_Import!$O25), VLOOKUP( APIF_Import!$O25 &amp; APIF_Import!$F$1,Podesavanja!$AA$3:$AD$28, 4, 0), 0))</f>
        <v>27488622</v>
      </c>
      <c r="G25" s="230">
        <f ca="1">IF( ISNA( VLOOKUP( APIF_Import!$O25 &amp; APIF_Import!$G$1,Podesavanja!$AA$3:$AD$28, 4, 0)), "", VLOOKUP( APIF_Import!$C25, INDIRECT( "Lookup_" &amp; APIF_Import!$O25), VLOOKUP( APIF_Import!$O25 &amp; APIF_Import!$G$1,Podesavanja!$AA$3:$AD$28, 4, 0), 0))</f>
        <v>42045620</v>
      </c>
      <c r="H25" s="230" t="str">
        <f ca="1">IF( ISNA( VLOOKUP( APIF_Import!$O25 &amp; APIF_Import!$H$1,Podesavanja!$AA$3:$AD$28, 4, 0)), "", VLOOKUP( APIF_Import!$C25, INDIRECT( "Lookup_" &amp; APIF_Import!$O25), VLOOKUP( APIF_Import!$O25 &amp; APIF_Import!$H$1,Podesavanja!$AA$3:$AD$28, 4, 0), 0))</f>
        <v/>
      </c>
      <c r="I25" s="230" t="str">
        <f ca="1">IF( ISNA( VLOOKUP( APIF_Import!$O25 &amp; APIF_Import!$I$1,Podesavanja!$AA$3:$AD$28, 4, 0)), "", VLOOKUP( APIF_Import!$C25, INDIRECT( "Lookup_" &amp; APIF_Import!$M25:$O25), VLOOKUP( APIF_Import!$O25 &amp; APIF_Import!$I$1,Podesavanja!$AA$3:$AD$28, 4, 0), 0))</f>
        <v/>
      </c>
      <c r="J25" s="230" t="str">
        <f ca="1">IF( ISNA( VLOOKUP( APIF_Import!$O25 &amp; APIF_Import!$J$1,Podesavanja!$AA$3:$AD$28, 4, 0)), "", VLOOKUP( APIF_Import!$C25, INDIRECT( "Lookup_" &amp; APIF_Import!$M25:$O25), VLOOKUP( APIF_Import!$O25 &amp; APIF_Import!$J$1,Podesavanja!$AA$3:$AD$28, 4, 0), 0))</f>
        <v/>
      </c>
      <c r="K25" s="230" t="str">
        <f ca="1">IF( ISNA( VLOOKUP( APIF_Import!$O25 &amp; APIF_Import!$K$1,Podesavanja!$AA$3:$AD$28, 4, 0)), "", VLOOKUP( APIF_Import!$C25, INDIRECT( "Lookup_" &amp; APIF_Import!$M25:$O25), VLOOKUP( APIF_Import!$O25 &amp; APIF_Import!$K$1,Podesavanja!$AA$3:$AD$28, 4, 0), 0))</f>
        <v/>
      </c>
      <c r="L25" s="230" t="str">
        <f ca="1">IF( ISNA( VLOOKUP( APIF_Import!$O25 &amp; APIF_Import!$L$1,Podesavanja!$AA$3:$AD$28, 4, 0)), "", VLOOKUP( APIF_Import!$C25, INDIRECT( "Lookup_" &amp; APIF_Import!$M25:$O25), VLOOKUP( APIF_Import!$O25 &amp; APIF_Import!$L$1,Podesavanja!$AA$3:$AD$28, 4, 0), 0))</f>
        <v/>
      </c>
      <c r="M25" s="230" t="str">
        <f ca="1">IF( ISNA( VLOOKUP( APIF_Import!$O25 &amp; APIF_Import!$M$1,Podesavanja!$AA$3:$AD$28, 4, 0)), "", VLOOKUP( APIF_Import!$C25, INDIRECT( "Lookup_" &amp; APIF_Import!$M25:$O25), VLOOKUP( APIF_Import!$O25 &amp; APIF_Import!$M$1,Podesavanja!$AA$3:$AD$28, 4, 0), 0))</f>
        <v/>
      </c>
      <c r="N25" s="8">
        <v>24</v>
      </c>
      <c r="O25" s="230" t="s">
        <v>2897</v>
      </c>
    </row>
    <row r="26" spans="2:16">
      <c r="B26" s="44">
        <f ca="1">VLOOKUP( APIF_Import!$O26, Podesavanja!$N$3:$Q$9, 4, 0)</f>
        <v>1</v>
      </c>
      <c r="C26" s="229">
        <f ca="1">VLOOKUP( APIF_Import!$N26, Aop!$A$2:$P$456, 4, 0)</f>
        <v>25</v>
      </c>
      <c r="D26" s="230" t="str">
        <f ca="1">IF( ISNA( VLOOKUP( APIF_Import!$O26 &amp; APIF_Import!$D$1,Podesavanja!$AA$3:$AD$28, 4, 0)), "", SUBSTITUTE( VALUE( VLOOKUP( APIF_Import!$C26, INDIRECT( "Lookup_" &amp; APIF_Import!$O26), VLOOKUP( APIF_Import!$O26 &amp; APIF_Import!$D$1,Podesavanja!$AA$3:$AD$28, 4, 0), 0)), ".", ","))</f>
        <v>868500</v>
      </c>
      <c r="E26" s="230">
        <f ca="1">IF( ISNA( VLOOKUP( APIF_Import!$O26 &amp; APIF_Import!$E$1,Podesavanja!$AA$3:$AD$28, 4, 0)), "", VLOOKUP( APIF_Import!$C26, INDIRECT( "Lookup_" &amp; APIF_Import!$O26), VLOOKUP( APIF_Import!$O26 &amp; APIF_Import!$E$1,Podesavanja!$AA$3:$AD$28, 4, 0), 0))</f>
        <v>0</v>
      </c>
      <c r="F26" s="230">
        <f ca="1">IF( ISNA( VLOOKUP( APIF_Import!$O26 &amp; APIF_Import!$F$1,Podesavanja!$AA$3:$AD$28, 4, 0)), "", VLOOKUP( APIF_Import!$C26, INDIRECT( "Lookup_" &amp; APIF_Import!$O26), VLOOKUP( APIF_Import!$O26 &amp; APIF_Import!$F$1,Podesavanja!$AA$3:$AD$28, 4, 0), 0))</f>
        <v>868500</v>
      </c>
      <c r="G26" s="230">
        <f ca="1">IF( ISNA( VLOOKUP( APIF_Import!$O26 &amp; APIF_Import!$G$1,Podesavanja!$AA$3:$AD$28, 4, 0)), "", VLOOKUP( APIF_Import!$C26, INDIRECT( "Lookup_" &amp; APIF_Import!$O26), VLOOKUP( APIF_Import!$O26 &amp; APIF_Import!$G$1,Podesavanja!$AA$3:$AD$28, 4, 0), 0))</f>
        <v>0</v>
      </c>
      <c r="H26" s="230" t="str">
        <f ca="1">IF( ISNA( VLOOKUP( APIF_Import!$O26 &amp; APIF_Import!$H$1,Podesavanja!$AA$3:$AD$28, 4, 0)), "", VLOOKUP( APIF_Import!$C26, INDIRECT( "Lookup_" &amp; APIF_Import!$O26), VLOOKUP( APIF_Import!$O26 &amp; APIF_Import!$H$1,Podesavanja!$AA$3:$AD$28, 4, 0), 0))</f>
        <v/>
      </c>
      <c r="I26" s="230" t="str">
        <f ca="1">IF( ISNA( VLOOKUP( APIF_Import!$O26 &amp; APIF_Import!$I$1,Podesavanja!$AA$3:$AD$28, 4, 0)), "", VLOOKUP( APIF_Import!$C26, INDIRECT( "Lookup_" &amp; APIF_Import!$M26:$O26), VLOOKUP( APIF_Import!$O26 &amp; APIF_Import!$I$1,Podesavanja!$AA$3:$AD$28, 4, 0), 0))</f>
        <v/>
      </c>
      <c r="J26" s="230" t="str">
        <f ca="1">IF( ISNA( VLOOKUP( APIF_Import!$O26 &amp; APIF_Import!$J$1,Podesavanja!$AA$3:$AD$28, 4, 0)), "", VLOOKUP( APIF_Import!$C26, INDIRECT( "Lookup_" &amp; APIF_Import!$M26:$O26), VLOOKUP( APIF_Import!$O26 &amp; APIF_Import!$J$1,Podesavanja!$AA$3:$AD$28, 4, 0), 0))</f>
        <v/>
      </c>
      <c r="K26" s="230" t="str">
        <f ca="1">IF( ISNA( VLOOKUP( APIF_Import!$O26 &amp; APIF_Import!$K$1,Podesavanja!$AA$3:$AD$28, 4, 0)), "", VLOOKUP( APIF_Import!$C26, INDIRECT( "Lookup_" &amp; APIF_Import!$M26:$O26), VLOOKUP( APIF_Import!$O26 &amp; APIF_Import!$K$1,Podesavanja!$AA$3:$AD$28, 4, 0), 0))</f>
        <v/>
      </c>
      <c r="L26" s="230" t="str">
        <f ca="1">IF( ISNA( VLOOKUP( APIF_Import!$O26 &amp; APIF_Import!$L$1,Podesavanja!$AA$3:$AD$28, 4, 0)), "", VLOOKUP( APIF_Import!$C26, INDIRECT( "Lookup_" &amp; APIF_Import!$M26:$O26), VLOOKUP( APIF_Import!$O26 &amp; APIF_Import!$L$1,Podesavanja!$AA$3:$AD$28, 4, 0), 0))</f>
        <v/>
      </c>
      <c r="M26" s="230" t="str">
        <f ca="1">IF( ISNA( VLOOKUP( APIF_Import!$O26 &amp; APIF_Import!$M$1,Podesavanja!$AA$3:$AD$28, 4, 0)), "", VLOOKUP( APIF_Import!$C26, INDIRECT( "Lookup_" &amp; APIF_Import!$M26:$O26), VLOOKUP( APIF_Import!$O26 &amp; APIF_Import!$M$1,Podesavanja!$AA$3:$AD$28, 4, 0), 0))</f>
        <v/>
      </c>
      <c r="N26" s="8">
        <v>25</v>
      </c>
      <c r="O26" s="230" t="s">
        <v>2897</v>
      </c>
    </row>
    <row r="27" spans="2:16">
      <c r="B27" s="44">
        <f ca="1">VLOOKUP( APIF_Import!$O27, Podesavanja!$N$3:$Q$9, 4, 0)</f>
        <v>1</v>
      </c>
      <c r="C27" s="229">
        <f ca="1">VLOOKUP( APIF_Import!$N27, Aop!$A$2:$P$456, 4, 0)</f>
        <v>26</v>
      </c>
      <c r="D27" s="230" t="str">
        <f ca="1">IF( ISNA( VLOOKUP( APIF_Import!$O27 &amp; APIF_Import!$D$1,Podesavanja!$AA$3:$AD$28, 4, 0)), "", SUBSTITUTE( VALUE( VLOOKUP( APIF_Import!$C27, INDIRECT( "Lookup_" &amp; APIF_Import!$O27), VLOOKUP( APIF_Import!$O27 &amp; APIF_Import!$D$1,Podesavanja!$AA$3:$AD$28, 4, 0), 0)), ".", ","))</f>
        <v>0</v>
      </c>
      <c r="E27" s="230">
        <f ca="1">IF( ISNA( VLOOKUP( APIF_Import!$O27 &amp; APIF_Import!$E$1,Podesavanja!$AA$3:$AD$28, 4, 0)), "", VLOOKUP( APIF_Import!$C27, INDIRECT( "Lookup_" &amp; APIF_Import!$O27), VLOOKUP( APIF_Import!$O27 &amp; APIF_Import!$E$1,Podesavanja!$AA$3:$AD$28, 4, 0), 0))</f>
        <v>0</v>
      </c>
      <c r="F27" s="230">
        <f ca="1">IF( ISNA( VLOOKUP( APIF_Import!$O27 &amp; APIF_Import!$F$1,Podesavanja!$AA$3:$AD$28, 4, 0)), "", VLOOKUP( APIF_Import!$C27, INDIRECT( "Lookup_" &amp; APIF_Import!$O27), VLOOKUP( APIF_Import!$O27 &amp; APIF_Import!$F$1,Podesavanja!$AA$3:$AD$28, 4, 0), 0))</f>
        <v>0</v>
      </c>
      <c r="G27" s="230">
        <f ca="1">IF( ISNA( VLOOKUP( APIF_Import!$O27 &amp; APIF_Import!$G$1,Podesavanja!$AA$3:$AD$28, 4, 0)), "", VLOOKUP( APIF_Import!$C27, INDIRECT( "Lookup_" &amp; APIF_Import!$O27), VLOOKUP( APIF_Import!$O27 &amp; APIF_Import!$G$1,Podesavanja!$AA$3:$AD$28, 4, 0), 0))</f>
        <v>0</v>
      </c>
      <c r="H27" s="230" t="str">
        <f ca="1">IF( ISNA( VLOOKUP( APIF_Import!$O27 &amp; APIF_Import!$H$1,Podesavanja!$AA$3:$AD$28, 4, 0)), "", VLOOKUP( APIF_Import!$C27, INDIRECT( "Lookup_" &amp; APIF_Import!$O27), VLOOKUP( APIF_Import!$O27 &amp; APIF_Import!$H$1,Podesavanja!$AA$3:$AD$28, 4, 0), 0))</f>
        <v/>
      </c>
      <c r="I27" s="230" t="str">
        <f ca="1">IF( ISNA( VLOOKUP( APIF_Import!$O27 &amp; APIF_Import!$I$1,Podesavanja!$AA$3:$AD$28, 4, 0)), "", VLOOKUP( APIF_Import!$C27, INDIRECT( "Lookup_" &amp; APIF_Import!$M27:$O27), VLOOKUP( APIF_Import!$O27 &amp; APIF_Import!$I$1,Podesavanja!$AA$3:$AD$28, 4, 0), 0))</f>
        <v/>
      </c>
      <c r="J27" s="230" t="str">
        <f ca="1">IF( ISNA( VLOOKUP( APIF_Import!$O27 &amp; APIF_Import!$J$1,Podesavanja!$AA$3:$AD$28, 4, 0)), "", VLOOKUP( APIF_Import!$C27, INDIRECT( "Lookup_" &amp; APIF_Import!$M27:$O27), VLOOKUP( APIF_Import!$O27 &amp; APIF_Import!$J$1,Podesavanja!$AA$3:$AD$28, 4, 0), 0))</f>
        <v/>
      </c>
      <c r="K27" s="230" t="str">
        <f ca="1">IF( ISNA( VLOOKUP( APIF_Import!$O27 &amp; APIF_Import!$K$1,Podesavanja!$AA$3:$AD$28, 4, 0)), "", VLOOKUP( APIF_Import!$C27, INDIRECT( "Lookup_" &amp; APIF_Import!$M27:$O27), VLOOKUP( APIF_Import!$O27 &amp; APIF_Import!$K$1,Podesavanja!$AA$3:$AD$28, 4, 0), 0))</f>
        <v/>
      </c>
      <c r="L27" s="230" t="str">
        <f ca="1">IF( ISNA( VLOOKUP( APIF_Import!$O27 &amp; APIF_Import!$L$1,Podesavanja!$AA$3:$AD$28, 4, 0)), "", VLOOKUP( APIF_Import!$C27, INDIRECT( "Lookup_" &amp; APIF_Import!$M27:$O27), VLOOKUP( APIF_Import!$O27 &amp; APIF_Import!$L$1,Podesavanja!$AA$3:$AD$28, 4, 0), 0))</f>
        <v/>
      </c>
      <c r="M27" s="230" t="str">
        <f ca="1">IF( ISNA( VLOOKUP( APIF_Import!$O27 &amp; APIF_Import!$M$1,Podesavanja!$AA$3:$AD$28, 4, 0)), "", VLOOKUP( APIF_Import!$C27, INDIRECT( "Lookup_" &amp; APIF_Import!$M27:$O27), VLOOKUP( APIF_Import!$O27 &amp; APIF_Import!$M$1,Podesavanja!$AA$3:$AD$28, 4, 0), 0))</f>
        <v/>
      </c>
      <c r="N27" s="8">
        <v>26</v>
      </c>
      <c r="O27" s="230" t="s">
        <v>2897</v>
      </c>
    </row>
    <row r="28" spans="2:16">
      <c r="B28" s="44">
        <f ca="1">VLOOKUP( APIF_Import!$O28, Podesavanja!$N$3:$Q$9, 4, 0)</f>
        <v>1</v>
      </c>
      <c r="C28" s="229">
        <f ca="1">VLOOKUP( APIF_Import!$N28, Aop!$A$2:$P$456, 4, 0)</f>
        <v>27</v>
      </c>
      <c r="D28" s="230" t="str">
        <f ca="1">IF( ISNA( VLOOKUP( APIF_Import!$O28 &amp; APIF_Import!$D$1,Podesavanja!$AA$3:$AD$28, 4, 0)), "", SUBSTITUTE( VALUE( VLOOKUP( APIF_Import!$C28, INDIRECT( "Lookup_" &amp; APIF_Import!$O28), VLOOKUP( APIF_Import!$O28 &amp; APIF_Import!$D$1,Podesavanja!$AA$3:$AD$28, 4, 0), 0)), ".", ","))</f>
        <v>868500</v>
      </c>
      <c r="E28" s="230">
        <f ca="1">IF( ISNA( VLOOKUP( APIF_Import!$O28 &amp; APIF_Import!$E$1,Podesavanja!$AA$3:$AD$28, 4, 0)), "", VLOOKUP( APIF_Import!$C28, INDIRECT( "Lookup_" &amp; APIF_Import!$O28), VLOOKUP( APIF_Import!$O28 &amp; APIF_Import!$E$1,Podesavanja!$AA$3:$AD$28, 4, 0), 0))</f>
        <v>0</v>
      </c>
      <c r="F28" s="230">
        <f ca="1">IF( ISNA( VLOOKUP( APIF_Import!$O28 &amp; APIF_Import!$F$1,Podesavanja!$AA$3:$AD$28, 4, 0)), "", VLOOKUP( APIF_Import!$C28, INDIRECT( "Lookup_" &amp; APIF_Import!$O28), VLOOKUP( APIF_Import!$O28 &amp; APIF_Import!$F$1,Podesavanja!$AA$3:$AD$28, 4, 0), 0))</f>
        <v>868500</v>
      </c>
      <c r="G28" s="230">
        <f ca="1">IF( ISNA( VLOOKUP( APIF_Import!$O28 &amp; APIF_Import!$G$1,Podesavanja!$AA$3:$AD$28, 4, 0)), "", VLOOKUP( APIF_Import!$C28, INDIRECT( "Lookup_" &amp; APIF_Import!$O28), VLOOKUP( APIF_Import!$O28 &amp; APIF_Import!$G$1,Podesavanja!$AA$3:$AD$28, 4, 0), 0))</f>
        <v>0</v>
      </c>
      <c r="H28" s="230" t="str">
        <f ca="1">IF( ISNA( VLOOKUP( APIF_Import!$O28 &amp; APIF_Import!$H$1,Podesavanja!$AA$3:$AD$28, 4, 0)), "", VLOOKUP( APIF_Import!$C28, INDIRECT( "Lookup_" &amp; APIF_Import!$O28), VLOOKUP( APIF_Import!$O28 &amp; APIF_Import!$H$1,Podesavanja!$AA$3:$AD$28, 4, 0), 0))</f>
        <v/>
      </c>
      <c r="I28" s="230" t="str">
        <f ca="1">IF( ISNA( VLOOKUP( APIF_Import!$O28 &amp; APIF_Import!$I$1,Podesavanja!$AA$3:$AD$28, 4, 0)), "", VLOOKUP( APIF_Import!$C28, INDIRECT( "Lookup_" &amp; APIF_Import!$M28:$O28), VLOOKUP( APIF_Import!$O28 &amp; APIF_Import!$I$1,Podesavanja!$AA$3:$AD$28, 4, 0), 0))</f>
        <v/>
      </c>
      <c r="J28" s="230" t="str">
        <f ca="1">IF( ISNA( VLOOKUP( APIF_Import!$O28 &amp; APIF_Import!$J$1,Podesavanja!$AA$3:$AD$28, 4, 0)), "", VLOOKUP( APIF_Import!$C28, INDIRECT( "Lookup_" &amp; APIF_Import!$M28:$O28), VLOOKUP( APIF_Import!$O28 &amp; APIF_Import!$J$1,Podesavanja!$AA$3:$AD$28, 4, 0), 0))</f>
        <v/>
      </c>
      <c r="K28" s="230" t="str">
        <f ca="1">IF( ISNA( VLOOKUP( APIF_Import!$O28 &amp; APIF_Import!$K$1,Podesavanja!$AA$3:$AD$28, 4, 0)), "", VLOOKUP( APIF_Import!$C28, INDIRECT( "Lookup_" &amp; APIF_Import!$M28:$O28), VLOOKUP( APIF_Import!$O28 &amp; APIF_Import!$K$1,Podesavanja!$AA$3:$AD$28, 4, 0), 0))</f>
        <v/>
      </c>
      <c r="L28" s="230" t="str">
        <f ca="1">IF( ISNA( VLOOKUP( APIF_Import!$O28 &amp; APIF_Import!$L$1,Podesavanja!$AA$3:$AD$28, 4, 0)), "", VLOOKUP( APIF_Import!$C28, INDIRECT( "Lookup_" &amp; APIF_Import!$M28:$O28), VLOOKUP( APIF_Import!$O28 &amp; APIF_Import!$L$1,Podesavanja!$AA$3:$AD$28, 4, 0), 0))</f>
        <v/>
      </c>
      <c r="M28" s="230" t="str">
        <f ca="1">IF( ISNA( VLOOKUP( APIF_Import!$O28 &amp; APIF_Import!$M$1,Podesavanja!$AA$3:$AD$28, 4, 0)), "", VLOOKUP( APIF_Import!$C28, INDIRECT( "Lookup_" &amp; APIF_Import!$M28:$O28), VLOOKUP( APIF_Import!$O28 &amp; APIF_Import!$M$1,Podesavanja!$AA$3:$AD$28, 4, 0), 0))</f>
        <v/>
      </c>
      <c r="N28" s="8">
        <v>27</v>
      </c>
      <c r="O28" s="230" t="s">
        <v>2897</v>
      </c>
    </row>
    <row r="29" spans="2:16">
      <c r="B29" s="44">
        <f ca="1">VLOOKUP( APIF_Import!$O29, Podesavanja!$N$3:$Q$9, 4, 0)</f>
        <v>1</v>
      </c>
      <c r="C29" s="229">
        <f ca="1">VLOOKUP( APIF_Import!$N29, Aop!$A$2:$P$456, 4, 0)</f>
        <v>28</v>
      </c>
      <c r="D29" s="230" t="str">
        <f ca="1">IF( ISNA( VLOOKUP( APIF_Import!$O29 &amp; APIF_Import!$D$1,Podesavanja!$AA$3:$AD$28, 4, 0)), "", SUBSTITUTE( VALUE( VLOOKUP( APIF_Import!$C29, INDIRECT( "Lookup_" &amp; APIF_Import!$O29), VLOOKUP( APIF_Import!$O29 &amp; APIF_Import!$D$1,Podesavanja!$AA$3:$AD$28, 4, 0), 0)), ".", ","))</f>
        <v>0</v>
      </c>
      <c r="E29" s="230">
        <f ca="1">IF( ISNA( VLOOKUP( APIF_Import!$O29 &amp; APIF_Import!$E$1,Podesavanja!$AA$3:$AD$28, 4, 0)), "", VLOOKUP( APIF_Import!$C29, INDIRECT( "Lookup_" &amp; APIF_Import!$O29), VLOOKUP( APIF_Import!$O29 &amp; APIF_Import!$E$1,Podesavanja!$AA$3:$AD$28, 4, 0), 0))</f>
        <v>0</v>
      </c>
      <c r="F29" s="230">
        <f ca="1">IF( ISNA( VLOOKUP( APIF_Import!$O29 &amp; APIF_Import!$F$1,Podesavanja!$AA$3:$AD$28, 4, 0)), "", VLOOKUP( APIF_Import!$C29, INDIRECT( "Lookup_" &amp; APIF_Import!$O29), VLOOKUP( APIF_Import!$O29 &amp; APIF_Import!$F$1,Podesavanja!$AA$3:$AD$28, 4, 0), 0))</f>
        <v>0</v>
      </c>
      <c r="G29" s="230">
        <f ca="1">IF( ISNA( VLOOKUP( APIF_Import!$O29 &amp; APIF_Import!$G$1,Podesavanja!$AA$3:$AD$28, 4, 0)), "", VLOOKUP( APIF_Import!$C29, INDIRECT( "Lookup_" &amp; APIF_Import!$O29), VLOOKUP( APIF_Import!$O29 &amp; APIF_Import!$G$1,Podesavanja!$AA$3:$AD$28, 4, 0), 0))</f>
        <v>0</v>
      </c>
      <c r="H29" s="230" t="str">
        <f ca="1">IF( ISNA( VLOOKUP( APIF_Import!$O29 &amp; APIF_Import!$H$1,Podesavanja!$AA$3:$AD$28, 4, 0)), "", VLOOKUP( APIF_Import!$C29, INDIRECT( "Lookup_" &amp; APIF_Import!$O29), VLOOKUP( APIF_Import!$O29 &amp; APIF_Import!$H$1,Podesavanja!$AA$3:$AD$28, 4, 0), 0))</f>
        <v/>
      </c>
      <c r="I29" s="230" t="str">
        <f ca="1">IF( ISNA( VLOOKUP( APIF_Import!$O29 &amp; APIF_Import!$I$1,Podesavanja!$AA$3:$AD$28, 4, 0)), "", VLOOKUP( APIF_Import!$C29, INDIRECT( "Lookup_" &amp; APIF_Import!$M29:$O29), VLOOKUP( APIF_Import!$O29 &amp; APIF_Import!$I$1,Podesavanja!$AA$3:$AD$28, 4, 0), 0))</f>
        <v/>
      </c>
      <c r="J29" s="230" t="str">
        <f ca="1">IF( ISNA( VLOOKUP( APIF_Import!$O29 &amp; APIF_Import!$J$1,Podesavanja!$AA$3:$AD$28, 4, 0)), "", VLOOKUP( APIF_Import!$C29, INDIRECT( "Lookup_" &amp; APIF_Import!$M29:$O29), VLOOKUP( APIF_Import!$O29 &amp; APIF_Import!$J$1,Podesavanja!$AA$3:$AD$28, 4, 0), 0))</f>
        <v/>
      </c>
      <c r="K29" s="230" t="str">
        <f ca="1">IF( ISNA( VLOOKUP( APIF_Import!$O29 &amp; APIF_Import!$K$1,Podesavanja!$AA$3:$AD$28, 4, 0)), "", VLOOKUP( APIF_Import!$C29, INDIRECT( "Lookup_" &amp; APIF_Import!$M29:$O29), VLOOKUP( APIF_Import!$O29 &amp; APIF_Import!$K$1,Podesavanja!$AA$3:$AD$28, 4, 0), 0))</f>
        <v/>
      </c>
      <c r="L29" s="230" t="str">
        <f ca="1">IF( ISNA( VLOOKUP( APIF_Import!$O29 &amp; APIF_Import!$L$1,Podesavanja!$AA$3:$AD$28, 4, 0)), "", VLOOKUP( APIF_Import!$C29, INDIRECT( "Lookup_" &amp; APIF_Import!$M29:$O29), VLOOKUP( APIF_Import!$O29 &amp; APIF_Import!$L$1,Podesavanja!$AA$3:$AD$28, 4, 0), 0))</f>
        <v/>
      </c>
      <c r="M29" s="230" t="str">
        <f ca="1">IF( ISNA( VLOOKUP( APIF_Import!$O29 &amp; APIF_Import!$M$1,Podesavanja!$AA$3:$AD$28, 4, 0)), "", VLOOKUP( APIF_Import!$C29, INDIRECT( "Lookup_" &amp; APIF_Import!$M29:$O29), VLOOKUP( APIF_Import!$O29 &amp; APIF_Import!$M$1,Podesavanja!$AA$3:$AD$28, 4, 0), 0))</f>
        <v/>
      </c>
      <c r="N29" s="8">
        <v>28</v>
      </c>
      <c r="O29" s="230" t="s">
        <v>2897</v>
      </c>
    </row>
    <row r="30" spans="2:16">
      <c r="B30" s="44">
        <f ca="1">VLOOKUP( APIF_Import!$O30, Podesavanja!$N$3:$Q$9, 4, 0)</f>
        <v>1</v>
      </c>
      <c r="C30" s="229">
        <f ca="1">VLOOKUP( APIF_Import!$N30, Aop!$A$2:$P$456, 4, 0)</f>
        <v>29</v>
      </c>
      <c r="D30" s="230" t="str">
        <f ca="1">IF( ISNA( VLOOKUP( APIF_Import!$O30 &amp; APIF_Import!$D$1,Podesavanja!$AA$3:$AD$28, 4, 0)), "", SUBSTITUTE( VALUE( VLOOKUP( APIF_Import!$C30, INDIRECT( "Lookup_" &amp; APIF_Import!$O30), VLOOKUP( APIF_Import!$O30 &amp; APIF_Import!$D$1,Podesavanja!$AA$3:$AD$28, 4, 0), 0)), ".", ","))</f>
        <v>0</v>
      </c>
      <c r="E30" s="230">
        <f ca="1">IF( ISNA( VLOOKUP( APIF_Import!$O30 &amp; APIF_Import!$E$1,Podesavanja!$AA$3:$AD$28, 4, 0)), "", VLOOKUP( APIF_Import!$C30, INDIRECT( "Lookup_" &amp; APIF_Import!$O30), VLOOKUP( APIF_Import!$O30 &amp; APIF_Import!$E$1,Podesavanja!$AA$3:$AD$28, 4, 0), 0))</f>
        <v>0</v>
      </c>
      <c r="F30" s="230">
        <f ca="1">IF( ISNA( VLOOKUP( APIF_Import!$O30 &amp; APIF_Import!$F$1,Podesavanja!$AA$3:$AD$28, 4, 0)), "", VLOOKUP( APIF_Import!$C30, INDIRECT( "Lookup_" &amp; APIF_Import!$O30), VLOOKUP( APIF_Import!$O30 &amp; APIF_Import!$F$1,Podesavanja!$AA$3:$AD$28, 4, 0), 0))</f>
        <v>0</v>
      </c>
      <c r="G30" s="230">
        <f ca="1">IF( ISNA( VLOOKUP( APIF_Import!$O30 &amp; APIF_Import!$G$1,Podesavanja!$AA$3:$AD$28, 4, 0)), "", VLOOKUP( APIF_Import!$C30, INDIRECT( "Lookup_" &amp; APIF_Import!$O30), VLOOKUP( APIF_Import!$O30 &amp; APIF_Import!$G$1,Podesavanja!$AA$3:$AD$28, 4, 0), 0))</f>
        <v>0</v>
      </c>
      <c r="H30" s="230" t="str">
        <f ca="1">IF( ISNA( VLOOKUP( APIF_Import!$O30 &amp; APIF_Import!$H$1,Podesavanja!$AA$3:$AD$28, 4, 0)), "", VLOOKUP( APIF_Import!$C30, INDIRECT( "Lookup_" &amp; APIF_Import!$O30), VLOOKUP( APIF_Import!$O30 &amp; APIF_Import!$H$1,Podesavanja!$AA$3:$AD$28, 4, 0), 0))</f>
        <v/>
      </c>
      <c r="I30" s="230" t="str">
        <f ca="1">IF( ISNA( VLOOKUP( APIF_Import!$O30 &amp; APIF_Import!$I$1,Podesavanja!$AA$3:$AD$28, 4, 0)), "", VLOOKUP( APIF_Import!$C30, INDIRECT( "Lookup_" &amp; APIF_Import!$M30:$O30), VLOOKUP( APIF_Import!$O30 &amp; APIF_Import!$I$1,Podesavanja!$AA$3:$AD$28, 4, 0), 0))</f>
        <v/>
      </c>
      <c r="J30" s="230" t="str">
        <f ca="1">IF( ISNA( VLOOKUP( APIF_Import!$O30 &amp; APIF_Import!$J$1,Podesavanja!$AA$3:$AD$28, 4, 0)), "", VLOOKUP( APIF_Import!$C30, INDIRECT( "Lookup_" &amp; APIF_Import!$M30:$O30), VLOOKUP( APIF_Import!$O30 &amp; APIF_Import!$J$1,Podesavanja!$AA$3:$AD$28, 4, 0), 0))</f>
        <v/>
      </c>
      <c r="K30" s="230" t="str">
        <f ca="1">IF( ISNA( VLOOKUP( APIF_Import!$O30 &amp; APIF_Import!$K$1,Podesavanja!$AA$3:$AD$28, 4, 0)), "", VLOOKUP( APIF_Import!$C30, INDIRECT( "Lookup_" &amp; APIF_Import!$M30:$O30), VLOOKUP( APIF_Import!$O30 &amp; APIF_Import!$K$1,Podesavanja!$AA$3:$AD$28, 4, 0), 0))</f>
        <v/>
      </c>
      <c r="L30" s="230" t="str">
        <f ca="1">IF( ISNA( VLOOKUP( APIF_Import!$O30 &amp; APIF_Import!$L$1,Podesavanja!$AA$3:$AD$28, 4, 0)), "", VLOOKUP( APIF_Import!$C30, INDIRECT( "Lookup_" &amp; APIF_Import!$M30:$O30), VLOOKUP( APIF_Import!$O30 &amp; APIF_Import!$L$1,Podesavanja!$AA$3:$AD$28, 4, 0), 0))</f>
        <v/>
      </c>
      <c r="M30" s="230" t="str">
        <f ca="1">IF( ISNA( VLOOKUP( APIF_Import!$O30 &amp; APIF_Import!$M$1,Podesavanja!$AA$3:$AD$28, 4, 0)), "", VLOOKUP( APIF_Import!$C30, INDIRECT( "Lookup_" &amp; APIF_Import!$M30:$O30), VLOOKUP( APIF_Import!$O30 &amp; APIF_Import!$M$1,Podesavanja!$AA$3:$AD$28, 4, 0), 0))</f>
        <v/>
      </c>
      <c r="N30" s="8">
        <v>29</v>
      </c>
      <c r="O30" s="230" t="s">
        <v>2897</v>
      </c>
    </row>
    <row r="31" spans="2:16">
      <c r="B31" s="44">
        <f ca="1">VLOOKUP( APIF_Import!$O31, Podesavanja!$N$3:$Q$9, 4, 0)</f>
        <v>1</v>
      </c>
      <c r="C31" s="229">
        <f ca="1">VLOOKUP( APIF_Import!$N31, Aop!$A$2:$P$456, 4, 0)</f>
        <v>30</v>
      </c>
      <c r="D31" s="230" t="str">
        <f ca="1">IF( ISNA( VLOOKUP( APIF_Import!$O31 &amp; APIF_Import!$D$1,Podesavanja!$AA$3:$AD$28, 4, 0)), "", SUBSTITUTE( VALUE( VLOOKUP( APIF_Import!$C31, INDIRECT( "Lookup_" &amp; APIF_Import!$O31), VLOOKUP( APIF_Import!$O31 &amp; APIF_Import!$D$1,Podesavanja!$AA$3:$AD$28, 4, 0), 0)), ".", ","))</f>
        <v>200000</v>
      </c>
      <c r="E31" s="230">
        <f ca="1">IF( ISNA( VLOOKUP( APIF_Import!$O31 &amp; APIF_Import!$E$1,Podesavanja!$AA$3:$AD$28, 4, 0)), "", VLOOKUP( APIF_Import!$C31, INDIRECT( "Lookup_" &amp; APIF_Import!$O31), VLOOKUP( APIF_Import!$O31 &amp; APIF_Import!$E$1,Podesavanja!$AA$3:$AD$28, 4, 0), 0))</f>
        <v>0</v>
      </c>
      <c r="F31" s="230">
        <f ca="1">IF( ISNA( VLOOKUP( APIF_Import!$O31 &amp; APIF_Import!$F$1,Podesavanja!$AA$3:$AD$28, 4, 0)), "", VLOOKUP( APIF_Import!$C31, INDIRECT( "Lookup_" &amp; APIF_Import!$O31), VLOOKUP( APIF_Import!$O31 &amp; APIF_Import!$F$1,Podesavanja!$AA$3:$AD$28, 4, 0), 0))</f>
        <v>200000</v>
      </c>
      <c r="G31" s="230">
        <f ca="1">IF( ISNA( VLOOKUP( APIF_Import!$O31 &amp; APIF_Import!$G$1,Podesavanja!$AA$3:$AD$28, 4, 0)), "", VLOOKUP( APIF_Import!$C31, INDIRECT( "Lookup_" &amp; APIF_Import!$O31), VLOOKUP( APIF_Import!$O31 &amp; APIF_Import!$G$1,Podesavanja!$AA$3:$AD$28, 4, 0), 0))</f>
        <v>0</v>
      </c>
      <c r="H31" s="230" t="str">
        <f ca="1">IF( ISNA( VLOOKUP( APIF_Import!$O31 &amp; APIF_Import!$H$1,Podesavanja!$AA$3:$AD$28, 4, 0)), "", VLOOKUP( APIF_Import!$C31, INDIRECT( "Lookup_" &amp; APIF_Import!$O31), VLOOKUP( APIF_Import!$O31 &amp; APIF_Import!$H$1,Podesavanja!$AA$3:$AD$28, 4, 0), 0))</f>
        <v/>
      </c>
      <c r="I31" s="230" t="str">
        <f ca="1">IF( ISNA( VLOOKUP( APIF_Import!$O31 &amp; APIF_Import!$I$1,Podesavanja!$AA$3:$AD$28, 4, 0)), "", VLOOKUP( APIF_Import!$C31, INDIRECT( "Lookup_" &amp; APIF_Import!$M31:$O31), VLOOKUP( APIF_Import!$O31 &amp; APIF_Import!$I$1,Podesavanja!$AA$3:$AD$28, 4, 0), 0))</f>
        <v/>
      </c>
      <c r="J31" s="230" t="str">
        <f ca="1">IF( ISNA( VLOOKUP( APIF_Import!$O31 &amp; APIF_Import!$J$1,Podesavanja!$AA$3:$AD$28, 4, 0)), "", VLOOKUP( APIF_Import!$C31, INDIRECT( "Lookup_" &amp; APIF_Import!$M31:$O31), VLOOKUP( APIF_Import!$O31 &amp; APIF_Import!$J$1,Podesavanja!$AA$3:$AD$28, 4, 0), 0))</f>
        <v/>
      </c>
      <c r="K31" s="230" t="str">
        <f ca="1">IF( ISNA( VLOOKUP( APIF_Import!$O31 &amp; APIF_Import!$K$1,Podesavanja!$AA$3:$AD$28, 4, 0)), "", VLOOKUP( APIF_Import!$C31, INDIRECT( "Lookup_" &amp; APIF_Import!$M31:$O31), VLOOKUP( APIF_Import!$O31 &amp; APIF_Import!$K$1,Podesavanja!$AA$3:$AD$28, 4, 0), 0))</f>
        <v/>
      </c>
      <c r="L31" s="230" t="str">
        <f ca="1">IF( ISNA( VLOOKUP( APIF_Import!$O31 &amp; APIF_Import!$L$1,Podesavanja!$AA$3:$AD$28, 4, 0)), "", VLOOKUP( APIF_Import!$C31, INDIRECT( "Lookup_" &amp; APIF_Import!$M31:$O31), VLOOKUP( APIF_Import!$O31 &amp; APIF_Import!$L$1,Podesavanja!$AA$3:$AD$28, 4, 0), 0))</f>
        <v/>
      </c>
      <c r="M31" s="230" t="str">
        <f ca="1">IF( ISNA( VLOOKUP( APIF_Import!$O31 &amp; APIF_Import!$M$1,Podesavanja!$AA$3:$AD$28, 4, 0)), "", VLOOKUP( APIF_Import!$C31, INDIRECT( "Lookup_" &amp; APIF_Import!$M31:$O31), VLOOKUP( APIF_Import!$O31 &amp; APIF_Import!$M$1,Podesavanja!$AA$3:$AD$28, 4, 0), 0))</f>
        <v/>
      </c>
      <c r="N31" s="8">
        <v>30</v>
      </c>
      <c r="O31" s="230" t="s">
        <v>2897</v>
      </c>
    </row>
    <row r="32" spans="2:16">
      <c r="B32" s="44">
        <f ca="1">VLOOKUP( APIF_Import!$O32, Podesavanja!$N$3:$Q$9, 4, 0)</f>
        <v>1</v>
      </c>
      <c r="C32" s="229">
        <f ca="1">VLOOKUP( APIF_Import!$N32, Aop!$A$2:$P$456, 4, 0)</f>
        <v>31</v>
      </c>
      <c r="D32" s="230" t="str">
        <f ca="1">IF( ISNA( VLOOKUP( APIF_Import!$O32 &amp; APIF_Import!$D$1,Podesavanja!$AA$3:$AD$28, 4, 0)), "", SUBSTITUTE( VALUE( VLOOKUP( APIF_Import!$C32, INDIRECT( "Lookup_" &amp; APIF_Import!$O32), VLOOKUP( APIF_Import!$O32 &amp; APIF_Import!$D$1,Podesavanja!$AA$3:$AD$28, 4, 0), 0)), ".", ","))</f>
        <v>0</v>
      </c>
      <c r="E32" s="230">
        <f ca="1">IF( ISNA( VLOOKUP( APIF_Import!$O32 &amp; APIF_Import!$E$1,Podesavanja!$AA$3:$AD$28, 4, 0)), "", VLOOKUP( APIF_Import!$C32, INDIRECT( "Lookup_" &amp; APIF_Import!$O32), VLOOKUP( APIF_Import!$O32 &amp; APIF_Import!$E$1,Podesavanja!$AA$3:$AD$28, 4, 0), 0))</f>
        <v>0</v>
      </c>
      <c r="F32" s="230">
        <f ca="1">IF( ISNA( VLOOKUP( APIF_Import!$O32 &amp; APIF_Import!$F$1,Podesavanja!$AA$3:$AD$28, 4, 0)), "", VLOOKUP( APIF_Import!$C32, INDIRECT( "Lookup_" &amp; APIF_Import!$O32), VLOOKUP( APIF_Import!$O32 &amp; APIF_Import!$F$1,Podesavanja!$AA$3:$AD$28, 4, 0), 0))</f>
        <v>0</v>
      </c>
      <c r="G32" s="230">
        <f ca="1">IF( ISNA( VLOOKUP( APIF_Import!$O32 &amp; APIF_Import!$G$1,Podesavanja!$AA$3:$AD$28, 4, 0)), "", VLOOKUP( APIF_Import!$C32, INDIRECT( "Lookup_" &amp; APIF_Import!$O32), VLOOKUP( APIF_Import!$O32 &amp; APIF_Import!$G$1,Podesavanja!$AA$3:$AD$28, 4, 0), 0))</f>
        <v>0</v>
      </c>
      <c r="H32" s="230" t="str">
        <f ca="1">IF( ISNA( VLOOKUP( APIF_Import!$O32 &amp; APIF_Import!$H$1,Podesavanja!$AA$3:$AD$28, 4, 0)), "", VLOOKUP( APIF_Import!$C32, INDIRECT( "Lookup_" &amp; APIF_Import!$O32), VLOOKUP( APIF_Import!$O32 &amp; APIF_Import!$H$1,Podesavanja!$AA$3:$AD$28, 4, 0), 0))</f>
        <v/>
      </c>
      <c r="I32" s="230" t="str">
        <f ca="1">IF( ISNA( VLOOKUP( APIF_Import!$O32 &amp; APIF_Import!$I$1,Podesavanja!$AA$3:$AD$28, 4, 0)), "", VLOOKUP( APIF_Import!$C32, INDIRECT( "Lookup_" &amp; APIF_Import!$M32:$O32), VLOOKUP( APIF_Import!$O32 &amp; APIF_Import!$I$1,Podesavanja!$AA$3:$AD$28, 4, 0), 0))</f>
        <v/>
      </c>
      <c r="J32" s="230" t="str">
        <f ca="1">IF( ISNA( VLOOKUP( APIF_Import!$O32 &amp; APIF_Import!$J$1,Podesavanja!$AA$3:$AD$28, 4, 0)), "", VLOOKUP( APIF_Import!$C32, INDIRECT( "Lookup_" &amp; APIF_Import!$M32:$O32), VLOOKUP( APIF_Import!$O32 &amp; APIF_Import!$J$1,Podesavanja!$AA$3:$AD$28, 4, 0), 0))</f>
        <v/>
      </c>
      <c r="K32" s="230" t="str">
        <f ca="1">IF( ISNA( VLOOKUP( APIF_Import!$O32 &amp; APIF_Import!$K$1,Podesavanja!$AA$3:$AD$28, 4, 0)), "", VLOOKUP( APIF_Import!$C32, INDIRECT( "Lookup_" &amp; APIF_Import!$M32:$O32), VLOOKUP( APIF_Import!$O32 &amp; APIF_Import!$K$1,Podesavanja!$AA$3:$AD$28, 4, 0), 0))</f>
        <v/>
      </c>
      <c r="L32" s="230" t="str">
        <f ca="1">IF( ISNA( VLOOKUP( APIF_Import!$O32 &amp; APIF_Import!$L$1,Podesavanja!$AA$3:$AD$28, 4, 0)), "", VLOOKUP( APIF_Import!$C32, INDIRECT( "Lookup_" &amp; APIF_Import!$M32:$O32), VLOOKUP( APIF_Import!$O32 &amp; APIF_Import!$L$1,Podesavanja!$AA$3:$AD$28, 4, 0), 0))</f>
        <v/>
      </c>
      <c r="M32" s="230" t="str">
        <f ca="1">IF( ISNA( VLOOKUP( APIF_Import!$O32 &amp; APIF_Import!$M$1,Podesavanja!$AA$3:$AD$28, 4, 0)), "", VLOOKUP( APIF_Import!$C32, INDIRECT( "Lookup_" &amp; APIF_Import!$M32:$O32), VLOOKUP( APIF_Import!$O32 &amp; APIF_Import!$M$1,Podesavanja!$AA$3:$AD$28, 4, 0), 0))</f>
        <v/>
      </c>
      <c r="N32" s="8">
        <v>31</v>
      </c>
      <c r="O32" s="230" t="s">
        <v>2897</v>
      </c>
    </row>
    <row r="33" spans="2:15">
      <c r="B33" s="44">
        <f ca="1">VLOOKUP( APIF_Import!$O33, Podesavanja!$N$3:$Q$9, 4, 0)</f>
        <v>1</v>
      </c>
      <c r="C33" s="229">
        <f ca="1">VLOOKUP( APIF_Import!$N33, Aop!$A$2:$P$456, 4, 0)</f>
        <v>32</v>
      </c>
      <c r="D33" s="230" t="str">
        <f ca="1">IF( ISNA( VLOOKUP( APIF_Import!$O33 &amp; APIF_Import!$D$1,Podesavanja!$AA$3:$AD$28, 4, 0)), "", SUBSTITUTE( VALUE( VLOOKUP( APIF_Import!$C33, INDIRECT( "Lookup_" &amp; APIF_Import!$O33), VLOOKUP( APIF_Import!$O33 &amp; APIF_Import!$D$1,Podesavanja!$AA$3:$AD$28, 4, 0), 0)), ".", ","))</f>
        <v>200000</v>
      </c>
      <c r="E33" s="230">
        <f ca="1">IF( ISNA( VLOOKUP( APIF_Import!$O33 &amp; APIF_Import!$E$1,Podesavanja!$AA$3:$AD$28, 4, 0)), "", VLOOKUP( APIF_Import!$C33, INDIRECT( "Lookup_" &amp; APIF_Import!$O33), VLOOKUP( APIF_Import!$O33 &amp; APIF_Import!$E$1,Podesavanja!$AA$3:$AD$28, 4, 0), 0))</f>
        <v>0</v>
      </c>
      <c r="F33" s="230">
        <f ca="1">IF( ISNA( VLOOKUP( APIF_Import!$O33 &amp; APIF_Import!$F$1,Podesavanja!$AA$3:$AD$28, 4, 0)), "", VLOOKUP( APIF_Import!$C33, INDIRECT( "Lookup_" &amp; APIF_Import!$O33), VLOOKUP( APIF_Import!$O33 &amp; APIF_Import!$F$1,Podesavanja!$AA$3:$AD$28, 4, 0), 0))</f>
        <v>200000</v>
      </c>
      <c r="G33" s="230">
        <f ca="1">IF( ISNA( VLOOKUP( APIF_Import!$O33 &amp; APIF_Import!$G$1,Podesavanja!$AA$3:$AD$28, 4, 0)), "", VLOOKUP( APIF_Import!$C33, INDIRECT( "Lookup_" &amp; APIF_Import!$O33), VLOOKUP( APIF_Import!$O33 &amp; APIF_Import!$G$1,Podesavanja!$AA$3:$AD$28, 4, 0), 0))</f>
        <v>0</v>
      </c>
      <c r="H33" s="230" t="str">
        <f ca="1">IF( ISNA( VLOOKUP( APIF_Import!$O33 &amp; APIF_Import!$H$1,Podesavanja!$AA$3:$AD$28, 4, 0)), "", VLOOKUP( APIF_Import!$C33, INDIRECT( "Lookup_" &amp; APIF_Import!$O33), VLOOKUP( APIF_Import!$O33 &amp; APIF_Import!$H$1,Podesavanja!$AA$3:$AD$28, 4, 0), 0))</f>
        <v/>
      </c>
      <c r="I33" s="230" t="str">
        <f ca="1">IF( ISNA( VLOOKUP( APIF_Import!$O33 &amp; APIF_Import!$I$1,Podesavanja!$AA$3:$AD$28, 4, 0)), "", VLOOKUP( APIF_Import!$C33, INDIRECT( "Lookup_" &amp; APIF_Import!$M33:$O33), VLOOKUP( APIF_Import!$O33 &amp; APIF_Import!$I$1,Podesavanja!$AA$3:$AD$28, 4, 0), 0))</f>
        <v/>
      </c>
      <c r="J33" s="230" t="str">
        <f ca="1">IF( ISNA( VLOOKUP( APIF_Import!$O33 &amp; APIF_Import!$J$1,Podesavanja!$AA$3:$AD$28, 4, 0)), "", VLOOKUP( APIF_Import!$C33, INDIRECT( "Lookup_" &amp; APIF_Import!$M33:$O33), VLOOKUP( APIF_Import!$O33 &amp; APIF_Import!$J$1,Podesavanja!$AA$3:$AD$28, 4, 0), 0))</f>
        <v/>
      </c>
      <c r="K33" s="230" t="str">
        <f ca="1">IF( ISNA( VLOOKUP( APIF_Import!$O33 &amp; APIF_Import!$K$1,Podesavanja!$AA$3:$AD$28, 4, 0)), "", VLOOKUP( APIF_Import!$C33, INDIRECT( "Lookup_" &amp; APIF_Import!$M33:$O33), VLOOKUP( APIF_Import!$O33 &amp; APIF_Import!$K$1,Podesavanja!$AA$3:$AD$28, 4, 0), 0))</f>
        <v/>
      </c>
      <c r="L33" s="230" t="str">
        <f ca="1">IF( ISNA( VLOOKUP( APIF_Import!$O33 &amp; APIF_Import!$L$1,Podesavanja!$AA$3:$AD$28, 4, 0)), "", VLOOKUP( APIF_Import!$C33, INDIRECT( "Lookup_" &amp; APIF_Import!$M33:$O33), VLOOKUP( APIF_Import!$O33 &amp; APIF_Import!$L$1,Podesavanja!$AA$3:$AD$28, 4, 0), 0))</f>
        <v/>
      </c>
      <c r="M33" s="230" t="str">
        <f ca="1">IF( ISNA( VLOOKUP( APIF_Import!$O33 &amp; APIF_Import!$M$1,Podesavanja!$AA$3:$AD$28, 4, 0)), "", VLOOKUP( APIF_Import!$C33, INDIRECT( "Lookup_" &amp; APIF_Import!$M33:$O33), VLOOKUP( APIF_Import!$O33 &amp; APIF_Import!$M$1,Podesavanja!$AA$3:$AD$28, 4, 0), 0))</f>
        <v/>
      </c>
      <c r="N33" s="8">
        <v>32</v>
      </c>
      <c r="O33" s="230" t="s">
        <v>2897</v>
      </c>
    </row>
    <row r="34" spans="2:15">
      <c r="B34" s="44">
        <f ca="1">VLOOKUP( APIF_Import!$O34, Podesavanja!$N$3:$Q$9, 4, 0)</f>
        <v>1</v>
      </c>
      <c r="C34" s="229">
        <f ca="1">VLOOKUP( APIF_Import!$N34, Aop!$A$2:$P$456, 4, 0)</f>
        <v>33</v>
      </c>
      <c r="D34" s="230" t="str">
        <f ca="1">IF( ISNA( VLOOKUP( APIF_Import!$O34 &amp; APIF_Import!$D$1,Podesavanja!$AA$3:$AD$28, 4, 0)), "", SUBSTITUTE( VALUE( VLOOKUP( APIF_Import!$C34, INDIRECT( "Lookup_" &amp; APIF_Import!$O34), VLOOKUP( APIF_Import!$O34 &amp; APIF_Import!$D$1,Podesavanja!$AA$3:$AD$28, 4, 0), 0)), ".", ","))</f>
        <v>0</v>
      </c>
      <c r="E34" s="230">
        <f ca="1">IF( ISNA( VLOOKUP( APIF_Import!$O34 &amp; APIF_Import!$E$1,Podesavanja!$AA$3:$AD$28, 4, 0)), "", VLOOKUP( APIF_Import!$C34, INDIRECT( "Lookup_" &amp; APIF_Import!$O34), VLOOKUP( APIF_Import!$O34 &amp; APIF_Import!$E$1,Podesavanja!$AA$3:$AD$28, 4, 0), 0))</f>
        <v>0</v>
      </c>
      <c r="F34" s="230">
        <f ca="1">IF( ISNA( VLOOKUP( APIF_Import!$O34 &amp; APIF_Import!$F$1,Podesavanja!$AA$3:$AD$28, 4, 0)), "", VLOOKUP( APIF_Import!$C34, INDIRECT( "Lookup_" &amp; APIF_Import!$O34), VLOOKUP( APIF_Import!$O34 &amp; APIF_Import!$F$1,Podesavanja!$AA$3:$AD$28, 4, 0), 0))</f>
        <v>0</v>
      </c>
      <c r="G34" s="230">
        <f ca="1">IF( ISNA( VLOOKUP( APIF_Import!$O34 &amp; APIF_Import!$G$1,Podesavanja!$AA$3:$AD$28, 4, 0)), "", VLOOKUP( APIF_Import!$C34, INDIRECT( "Lookup_" &amp; APIF_Import!$O34), VLOOKUP( APIF_Import!$O34 &amp; APIF_Import!$G$1,Podesavanja!$AA$3:$AD$28, 4, 0), 0))</f>
        <v>0</v>
      </c>
      <c r="H34" s="230" t="str">
        <f ca="1">IF( ISNA( VLOOKUP( APIF_Import!$O34 &amp; APIF_Import!$H$1,Podesavanja!$AA$3:$AD$28, 4, 0)), "", VLOOKUP( APIF_Import!$C34, INDIRECT( "Lookup_" &amp; APIF_Import!$O34), VLOOKUP( APIF_Import!$O34 &amp; APIF_Import!$H$1,Podesavanja!$AA$3:$AD$28, 4, 0), 0))</f>
        <v/>
      </c>
      <c r="I34" s="230" t="str">
        <f ca="1">IF( ISNA( VLOOKUP( APIF_Import!$O34 &amp; APIF_Import!$I$1,Podesavanja!$AA$3:$AD$28, 4, 0)), "", VLOOKUP( APIF_Import!$C34, INDIRECT( "Lookup_" &amp; APIF_Import!$M34:$O34), VLOOKUP( APIF_Import!$O34 &amp; APIF_Import!$I$1,Podesavanja!$AA$3:$AD$28, 4, 0), 0))</f>
        <v/>
      </c>
      <c r="J34" s="230" t="str">
        <f ca="1">IF( ISNA( VLOOKUP( APIF_Import!$O34 &amp; APIF_Import!$J$1,Podesavanja!$AA$3:$AD$28, 4, 0)), "", VLOOKUP( APIF_Import!$C34, INDIRECT( "Lookup_" &amp; APIF_Import!$M34:$O34), VLOOKUP( APIF_Import!$O34 &amp; APIF_Import!$J$1,Podesavanja!$AA$3:$AD$28, 4, 0), 0))</f>
        <v/>
      </c>
      <c r="K34" s="230" t="str">
        <f ca="1">IF( ISNA( VLOOKUP( APIF_Import!$O34 &amp; APIF_Import!$K$1,Podesavanja!$AA$3:$AD$28, 4, 0)), "", VLOOKUP( APIF_Import!$C34, INDIRECT( "Lookup_" &amp; APIF_Import!$M34:$O34), VLOOKUP( APIF_Import!$O34 &amp; APIF_Import!$K$1,Podesavanja!$AA$3:$AD$28, 4, 0), 0))</f>
        <v/>
      </c>
      <c r="L34" s="230" t="str">
        <f ca="1">IF( ISNA( VLOOKUP( APIF_Import!$O34 &amp; APIF_Import!$L$1,Podesavanja!$AA$3:$AD$28, 4, 0)), "", VLOOKUP( APIF_Import!$C34, INDIRECT( "Lookup_" &amp; APIF_Import!$M34:$O34), VLOOKUP( APIF_Import!$O34 &amp; APIF_Import!$L$1,Podesavanja!$AA$3:$AD$28, 4, 0), 0))</f>
        <v/>
      </c>
      <c r="M34" s="230" t="str">
        <f ca="1">IF( ISNA( VLOOKUP( APIF_Import!$O34 &amp; APIF_Import!$M$1,Podesavanja!$AA$3:$AD$28, 4, 0)), "", VLOOKUP( APIF_Import!$C34, INDIRECT( "Lookup_" &amp; APIF_Import!$M34:$O34), VLOOKUP( APIF_Import!$O34 &amp; APIF_Import!$M$1,Podesavanja!$AA$3:$AD$28, 4, 0), 0))</f>
        <v/>
      </c>
      <c r="N34" s="8">
        <v>33</v>
      </c>
      <c r="O34" s="230" t="s">
        <v>2897</v>
      </c>
    </row>
    <row r="35" spans="2:15">
      <c r="B35" s="44">
        <f ca="1">VLOOKUP( APIF_Import!$O35, Podesavanja!$N$3:$Q$9, 4, 0)</f>
        <v>1</v>
      </c>
      <c r="C35" s="229">
        <f ca="1">VLOOKUP( APIF_Import!$N35, Aop!$A$2:$P$456, 4, 0)</f>
        <v>34</v>
      </c>
      <c r="D35" s="230" t="str">
        <f ca="1">IF( ISNA( VLOOKUP( APIF_Import!$O35 &amp; APIF_Import!$D$1,Podesavanja!$AA$3:$AD$28, 4, 0)), "", SUBSTITUTE( VALUE( VLOOKUP( APIF_Import!$C35, INDIRECT( "Lookup_" &amp; APIF_Import!$O35), VLOOKUP( APIF_Import!$O35 &amp; APIF_Import!$D$1,Podesavanja!$AA$3:$AD$28, 4, 0), 0)), ".", ","))</f>
        <v>0</v>
      </c>
      <c r="E35" s="230">
        <f ca="1">IF( ISNA( VLOOKUP( APIF_Import!$O35 &amp; APIF_Import!$E$1,Podesavanja!$AA$3:$AD$28, 4, 0)), "", VLOOKUP( APIF_Import!$C35, INDIRECT( "Lookup_" &amp; APIF_Import!$O35), VLOOKUP( APIF_Import!$O35 &amp; APIF_Import!$E$1,Podesavanja!$AA$3:$AD$28, 4, 0), 0))</f>
        <v>0</v>
      </c>
      <c r="F35" s="230">
        <f ca="1">IF( ISNA( VLOOKUP( APIF_Import!$O35 &amp; APIF_Import!$F$1,Podesavanja!$AA$3:$AD$28, 4, 0)), "", VLOOKUP( APIF_Import!$C35, INDIRECT( "Lookup_" &amp; APIF_Import!$O35), VLOOKUP( APIF_Import!$O35 &amp; APIF_Import!$F$1,Podesavanja!$AA$3:$AD$28, 4, 0), 0))</f>
        <v>0</v>
      </c>
      <c r="G35" s="230">
        <f ca="1">IF( ISNA( VLOOKUP( APIF_Import!$O35 &amp; APIF_Import!$G$1,Podesavanja!$AA$3:$AD$28, 4, 0)), "", VLOOKUP( APIF_Import!$C35, INDIRECT( "Lookup_" &amp; APIF_Import!$O35), VLOOKUP( APIF_Import!$O35 &amp; APIF_Import!$G$1,Podesavanja!$AA$3:$AD$28, 4, 0), 0))</f>
        <v>0</v>
      </c>
      <c r="H35" s="230" t="str">
        <f ca="1">IF( ISNA( VLOOKUP( APIF_Import!$O35 &amp; APIF_Import!$H$1,Podesavanja!$AA$3:$AD$28, 4, 0)), "", VLOOKUP( APIF_Import!$C35, INDIRECT( "Lookup_" &amp; APIF_Import!$O35), VLOOKUP( APIF_Import!$O35 &amp; APIF_Import!$H$1,Podesavanja!$AA$3:$AD$28, 4, 0), 0))</f>
        <v/>
      </c>
      <c r="I35" s="230" t="str">
        <f ca="1">IF( ISNA( VLOOKUP( APIF_Import!$O35 &amp; APIF_Import!$I$1,Podesavanja!$AA$3:$AD$28, 4, 0)), "", VLOOKUP( APIF_Import!$C35, INDIRECT( "Lookup_" &amp; APIF_Import!$M35:$O35), VLOOKUP( APIF_Import!$O35 &amp; APIF_Import!$I$1,Podesavanja!$AA$3:$AD$28, 4, 0), 0))</f>
        <v/>
      </c>
      <c r="J35" s="230" t="str">
        <f ca="1">IF( ISNA( VLOOKUP( APIF_Import!$O35 &amp; APIF_Import!$J$1,Podesavanja!$AA$3:$AD$28, 4, 0)), "", VLOOKUP( APIF_Import!$C35, INDIRECT( "Lookup_" &amp; APIF_Import!$M35:$O35), VLOOKUP( APIF_Import!$O35 &amp; APIF_Import!$J$1,Podesavanja!$AA$3:$AD$28, 4, 0), 0))</f>
        <v/>
      </c>
      <c r="K35" s="230" t="str">
        <f ca="1">IF( ISNA( VLOOKUP( APIF_Import!$O35 &amp; APIF_Import!$K$1,Podesavanja!$AA$3:$AD$28, 4, 0)), "", VLOOKUP( APIF_Import!$C35, INDIRECT( "Lookup_" &amp; APIF_Import!$M35:$O35), VLOOKUP( APIF_Import!$O35 &amp; APIF_Import!$K$1,Podesavanja!$AA$3:$AD$28, 4, 0), 0))</f>
        <v/>
      </c>
      <c r="L35" s="230" t="str">
        <f ca="1">IF( ISNA( VLOOKUP( APIF_Import!$O35 &amp; APIF_Import!$L$1,Podesavanja!$AA$3:$AD$28, 4, 0)), "", VLOOKUP( APIF_Import!$C35, INDIRECT( "Lookup_" &amp; APIF_Import!$M35:$O35), VLOOKUP( APIF_Import!$O35 &amp; APIF_Import!$L$1,Podesavanja!$AA$3:$AD$28, 4, 0), 0))</f>
        <v/>
      </c>
      <c r="M35" s="230" t="str">
        <f ca="1">IF( ISNA( VLOOKUP( APIF_Import!$O35 &amp; APIF_Import!$M$1,Podesavanja!$AA$3:$AD$28, 4, 0)), "", VLOOKUP( APIF_Import!$C35, INDIRECT( "Lookup_" &amp; APIF_Import!$M35:$O35), VLOOKUP( APIF_Import!$O35 &amp; APIF_Import!$M$1,Podesavanja!$AA$3:$AD$28, 4, 0), 0))</f>
        <v/>
      </c>
      <c r="N35" s="8">
        <v>34</v>
      </c>
      <c r="O35" s="230" t="s">
        <v>2897</v>
      </c>
    </row>
    <row r="36" spans="2:15">
      <c r="B36" s="44">
        <f ca="1">VLOOKUP( APIF_Import!$O36, Podesavanja!$N$3:$Q$9, 4, 0)</f>
        <v>1</v>
      </c>
      <c r="C36" s="229">
        <f ca="1">VLOOKUP( APIF_Import!$N36, Aop!$A$2:$P$456, 4, 0)</f>
        <v>35</v>
      </c>
      <c r="D36" s="230" t="str">
        <f ca="1">IF( ISNA( VLOOKUP( APIF_Import!$O36 &amp; APIF_Import!$D$1,Podesavanja!$AA$3:$AD$28, 4, 0)), "", SUBSTITUTE( VALUE( VLOOKUP( APIF_Import!$C36, INDIRECT( "Lookup_" &amp; APIF_Import!$O36), VLOOKUP( APIF_Import!$O36 &amp; APIF_Import!$D$1,Podesavanja!$AA$3:$AD$28, 4, 0), 0)), ".", ","))</f>
        <v>0</v>
      </c>
      <c r="E36" s="230">
        <f ca="1">IF( ISNA( VLOOKUP( APIF_Import!$O36 &amp; APIF_Import!$E$1,Podesavanja!$AA$3:$AD$28, 4, 0)), "", VLOOKUP( APIF_Import!$C36, INDIRECT( "Lookup_" &amp; APIF_Import!$O36), VLOOKUP( APIF_Import!$O36 &amp; APIF_Import!$E$1,Podesavanja!$AA$3:$AD$28, 4, 0), 0))</f>
        <v>0</v>
      </c>
      <c r="F36" s="230">
        <f ca="1">IF( ISNA( VLOOKUP( APIF_Import!$O36 &amp; APIF_Import!$F$1,Podesavanja!$AA$3:$AD$28, 4, 0)), "", VLOOKUP( APIF_Import!$C36, INDIRECT( "Lookup_" &amp; APIF_Import!$O36), VLOOKUP( APIF_Import!$O36 &amp; APIF_Import!$F$1,Podesavanja!$AA$3:$AD$28, 4, 0), 0))</f>
        <v>0</v>
      </c>
      <c r="G36" s="230">
        <f ca="1">IF( ISNA( VLOOKUP( APIF_Import!$O36 &amp; APIF_Import!$G$1,Podesavanja!$AA$3:$AD$28, 4, 0)), "", VLOOKUP( APIF_Import!$C36, INDIRECT( "Lookup_" &amp; APIF_Import!$O36), VLOOKUP( APIF_Import!$O36 &amp; APIF_Import!$G$1,Podesavanja!$AA$3:$AD$28, 4, 0), 0))</f>
        <v>0</v>
      </c>
      <c r="H36" s="230" t="str">
        <f ca="1">IF( ISNA( VLOOKUP( APIF_Import!$O36 &amp; APIF_Import!$H$1,Podesavanja!$AA$3:$AD$28, 4, 0)), "", VLOOKUP( APIF_Import!$C36, INDIRECT( "Lookup_" &amp; APIF_Import!$O36), VLOOKUP( APIF_Import!$O36 &amp; APIF_Import!$H$1,Podesavanja!$AA$3:$AD$28, 4, 0), 0))</f>
        <v/>
      </c>
      <c r="I36" s="230" t="str">
        <f ca="1">IF( ISNA( VLOOKUP( APIF_Import!$O36 &amp; APIF_Import!$I$1,Podesavanja!$AA$3:$AD$28, 4, 0)), "", VLOOKUP( APIF_Import!$C36, INDIRECT( "Lookup_" &amp; APIF_Import!$M36:$O36), VLOOKUP( APIF_Import!$O36 &amp; APIF_Import!$I$1,Podesavanja!$AA$3:$AD$28, 4, 0), 0))</f>
        <v/>
      </c>
      <c r="J36" s="230" t="str">
        <f ca="1">IF( ISNA( VLOOKUP( APIF_Import!$O36 &amp; APIF_Import!$J$1,Podesavanja!$AA$3:$AD$28, 4, 0)), "", VLOOKUP( APIF_Import!$C36, INDIRECT( "Lookup_" &amp; APIF_Import!$M36:$O36), VLOOKUP( APIF_Import!$O36 &amp; APIF_Import!$J$1,Podesavanja!$AA$3:$AD$28, 4, 0), 0))</f>
        <v/>
      </c>
      <c r="K36" s="230" t="str">
        <f ca="1">IF( ISNA( VLOOKUP( APIF_Import!$O36 &amp; APIF_Import!$K$1,Podesavanja!$AA$3:$AD$28, 4, 0)), "", VLOOKUP( APIF_Import!$C36, INDIRECT( "Lookup_" &amp; APIF_Import!$M36:$O36), VLOOKUP( APIF_Import!$O36 &amp; APIF_Import!$K$1,Podesavanja!$AA$3:$AD$28, 4, 0), 0))</f>
        <v/>
      </c>
      <c r="L36" s="230" t="str">
        <f ca="1">IF( ISNA( VLOOKUP( APIF_Import!$O36 &amp; APIF_Import!$L$1,Podesavanja!$AA$3:$AD$28, 4, 0)), "", VLOOKUP( APIF_Import!$C36, INDIRECT( "Lookup_" &amp; APIF_Import!$M36:$O36), VLOOKUP( APIF_Import!$O36 &amp; APIF_Import!$L$1,Podesavanja!$AA$3:$AD$28, 4, 0), 0))</f>
        <v/>
      </c>
      <c r="M36" s="230" t="str">
        <f ca="1">IF( ISNA( VLOOKUP( APIF_Import!$O36 &amp; APIF_Import!$M$1,Podesavanja!$AA$3:$AD$28, 4, 0)), "", VLOOKUP( APIF_Import!$C36, INDIRECT( "Lookup_" &amp; APIF_Import!$M36:$O36), VLOOKUP( APIF_Import!$O36 &amp; APIF_Import!$M$1,Podesavanja!$AA$3:$AD$28, 4, 0), 0))</f>
        <v/>
      </c>
      <c r="N36" s="8">
        <v>35</v>
      </c>
      <c r="O36" s="230" t="s">
        <v>2897</v>
      </c>
    </row>
    <row r="37" spans="2:15">
      <c r="B37" s="44">
        <f ca="1">VLOOKUP( APIF_Import!$O37, Podesavanja!$N$3:$Q$9, 4, 0)</f>
        <v>1</v>
      </c>
      <c r="C37" s="229">
        <f ca="1">VLOOKUP( APIF_Import!$N37, Aop!$A$2:$P$456, 4, 0)</f>
        <v>36</v>
      </c>
      <c r="D37" s="230" t="str">
        <f ca="1">IF( ISNA( VLOOKUP( APIF_Import!$O37 &amp; APIF_Import!$D$1,Podesavanja!$AA$3:$AD$28, 4, 0)), "", SUBSTITUTE( VALUE( VLOOKUP( APIF_Import!$C37, INDIRECT( "Lookup_" &amp; APIF_Import!$O37), VLOOKUP( APIF_Import!$O37 &amp; APIF_Import!$D$1,Podesavanja!$AA$3:$AD$28, 4, 0), 0)), ".", ","))</f>
        <v>19252652</v>
      </c>
      <c r="E37" s="230">
        <f ca="1">IF( ISNA( VLOOKUP( APIF_Import!$O37 &amp; APIF_Import!$E$1,Podesavanja!$AA$3:$AD$28, 4, 0)), "", VLOOKUP( APIF_Import!$C37, INDIRECT( "Lookup_" &amp; APIF_Import!$O37), VLOOKUP( APIF_Import!$O37 &amp; APIF_Import!$E$1,Podesavanja!$AA$3:$AD$28, 4, 0), 0))</f>
        <v>0</v>
      </c>
      <c r="F37" s="230">
        <f ca="1">IF( ISNA( VLOOKUP( APIF_Import!$O37 &amp; APIF_Import!$F$1,Podesavanja!$AA$3:$AD$28, 4, 0)), "", VLOOKUP( APIF_Import!$C37, INDIRECT( "Lookup_" &amp; APIF_Import!$O37), VLOOKUP( APIF_Import!$O37 &amp; APIF_Import!$F$1,Podesavanja!$AA$3:$AD$28, 4, 0), 0))</f>
        <v>19252652</v>
      </c>
      <c r="G37" s="230">
        <f ca="1">IF( ISNA( VLOOKUP( APIF_Import!$O37 &amp; APIF_Import!$G$1,Podesavanja!$AA$3:$AD$28, 4, 0)), "", VLOOKUP( APIF_Import!$C37, INDIRECT( "Lookup_" &amp; APIF_Import!$O37), VLOOKUP( APIF_Import!$O37 &amp; APIF_Import!$G$1,Podesavanja!$AA$3:$AD$28, 4, 0), 0))</f>
        <v>19023811</v>
      </c>
      <c r="H37" s="230" t="str">
        <f ca="1">IF( ISNA( VLOOKUP( APIF_Import!$O37 &amp; APIF_Import!$H$1,Podesavanja!$AA$3:$AD$28, 4, 0)), "", VLOOKUP( APIF_Import!$C37, INDIRECT( "Lookup_" &amp; APIF_Import!$O37), VLOOKUP( APIF_Import!$O37 &amp; APIF_Import!$H$1,Podesavanja!$AA$3:$AD$28, 4, 0), 0))</f>
        <v/>
      </c>
      <c r="I37" s="230" t="str">
        <f ca="1">IF( ISNA( VLOOKUP( APIF_Import!$O37 &amp; APIF_Import!$I$1,Podesavanja!$AA$3:$AD$28, 4, 0)), "", VLOOKUP( APIF_Import!$C37, INDIRECT( "Lookup_" &amp; APIF_Import!$M37:$O37), VLOOKUP( APIF_Import!$O37 &amp; APIF_Import!$I$1,Podesavanja!$AA$3:$AD$28, 4, 0), 0))</f>
        <v/>
      </c>
      <c r="J37" s="230" t="str">
        <f ca="1">IF( ISNA( VLOOKUP( APIF_Import!$O37 &amp; APIF_Import!$J$1,Podesavanja!$AA$3:$AD$28, 4, 0)), "", VLOOKUP( APIF_Import!$C37, INDIRECT( "Lookup_" &amp; APIF_Import!$M37:$O37), VLOOKUP( APIF_Import!$O37 &amp; APIF_Import!$J$1,Podesavanja!$AA$3:$AD$28, 4, 0), 0))</f>
        <v/>
      </c>
      <c r="K37" s="230" t="str">
        <f ca="1">IF( ISNA( VLOOKUP( APIF_Import!$O37 &amp; APIF_Import!$K$1,Podesavanja!$AA$3:$AD$28, 4, 0)), "", VLOOKUP( APIF_Import!$C37, INDIRECT( "Lookup_" &amp; APIF_Import!$M37:$O37), VLOOKUP( APIF_Import!$O37 &amp; APIF_Import!$K$1,Podesavanja!$AA$3:$AD$28, 4, 0), 0))</f>
        <v/>
      </c>
      <c r="L37" s="230" t="str">
        <f ca="1">IF( ISNA( VLOOKUP( APIF_Import!$O37 &amp; APIF_Import!$L$1,Podesavanja!$AA$3:$AD$28, 4, 0)), "", VLOOKUP( APIF_Import!$C37, INDIRECT( "Lookup_" &amp; APIF_Import!$M37:$O37), VLOOKUP( APIF_Import!$O37 &amp; APIF_Import!$L$1,Podesavanja!$AA$3:$AD$28, 4, 0), 0))</f>
        <v/>
      </c>
      <c r="M37" s="230" t="str">
        <f ca="1">IF( ISNA( VLOOKUP( APIF_Import!$O37 &amp; APIF_Import!$M$1,Podesavanja!$AA$3:$AD$28, 4, 0)), "", VLOOKUP( APIF_Import!$C37, INDIRECT( "Lookup_" &amp; APIF_Import!$M37:$O37), VLOOKUP( APIF_Import!$O37 &amp; APIF_Import!$M$1,Podesavanja!$AA$3:$AD$28, 4, 0), 0))</f>
        <v/>
      </c>
      <c r="N37" s="8">
        <v>36</v>
      </c>
      <c r="O37" s="230" t="s">
        <v>2897</v>
      </c>
    </row>
    <row r="38" spans="2:15">
      <c r="B38" s="44">
        <f ca="1">VLOOKUP( APIF_Import!$O38, Podesavanja!$N$3:$Q$9, 4, 0)</f>
        <v>1</v>
      </c>
      <c r="C38" s="229">
        <f ca="1">VLOOKUP( APIF_Import!$N38, Aop!$A$2:$P$456, 4, 0)</f>
        <v>37</v>
      </c>
      <c r="D38" s="230" t="str">
        <f ca="1">IF( ISNA( VLOOKUP( APIF_Import!$O38 &amp; APIF_Import!$D$1,Podesavanja!$AA$3:$AD$28, 4, 0)), "", SUBSTITUTE( VALUE( VLOOKUP( APIF_Import!$C38, INDIRECT( "Lookup_" &amp; APIF_Import!$O38), VLOOKUP( APIF_Import!$O38 &amp; APIF_Import!$D$1,Podesavanja!$AA$3:$AD$28, 4, 0), 0)), ".", ","))</f>
        <v>216586</v>
      </c>
      <c r="E38" s="230">
        <f ca="1">IF( ISNA( VLOOKUP( APIF_Import!$O38 &amp; APIF_Import!$E$1,Podesavanja!$AA$3:$AD$28, 4, 0)), "", VLOOKUP( APIF_Import!$C38, INDIRECT( "Lookup_" &amp; APIF_Import!$O38), VLOOKUP( APIF_Import!$O38 &amp; APIF_Import!$E$1,Podesavanja!$AA$3:$AD$28, 4, 0), 0))</f>
        <v>0</v>
      </c>
      <c r="F38" s="230">
        <f ca="1">IF( ISNA( VLOOKUP( APIF_Import!$O38 &amp; APIF_Import!$F$1,Podesavanja!$AA$3:$AD$28, 4, 0)), "", VLOOKUP( APIF_Import!$C38, INDIRECT( "Lookup_" &amp; APIF_Import!$O38), VLOOKUP( APIF_Import!$O38 &amp; APIF_Import!$F$1,Podesavanja!$AA$3:$AD$28, 4, 0), 0))</f>
        <v>216586</v>
      </c>
      <c r="G38" s="230">
        <f ca="1">IF( ISNA( VLOOKUP( APIF_Import!$O38 &amp; APIF_Import!$G$1,Podesavanja!$AA$3:$AD$28, 4, 0)), "", VLOOKUP( APIF_Import!$C38, INDIRECT( "Lookup_" &amp; APIF_Import!$O38), VLOOKUP( APIF_Import!$O38 &amp; APIF_Import!$G$1,Podesavanja!$AA$3:$AD$28, 4, 0), 0))</f>
        <v>213825</v>
      </c>
      <c r="H38" s="230" t="str">
        <f ca="1">IF( ISNA( VLOOKUP( APIF_Import!$O38 &amp; APIF_Import!$H$1,Podesavanja!$AA$3:$AD$28, 4, 0)), "", VLOOKUP( APIF_Import!$C38, INDIRECT( "Lookup_" &amp; APIF_Import!$O38), VLOOKUP( APIF_Import!$O38 &amp; APIF_Import!$H$1,Podesavanja!$AA$3:$AD$28, 4, 0), 0))</f>
        <v/>
      </c>
      <c r="I38" s="230" t="str">
        <f ca="1">IF( ISNA( VLOOKUP( APIF_Import!$O38 &amp; APIF_Import!$I$1,Podesavanja!$AA$3:$AD$28, 4, 0)), "", VLOOKUP( APIF_Import!$C38, INDIRECT( "Lookup_" &amp; APIF_Import!$M38:$O38), VLOOKUP( APIF_Import!$O38 &amp; APIF_Import!$I$1,Podesavanja!$AA$3:$AD$28, 4, 0), 0))</f>
        <v/>
      </c>
      <c r="J38" s="230" t="str">
        <f ca="1">IF( ISNA( VLOOKUP( APIF_Import!$O38 &amp; APIF_Import!$J$1,Podesavanja!$AA$3:$AD$28, 4, 0)), "", VLOOKUP( APIF_Import!$C38, INDIRECT( "Lookup_" &amp; APIF_Import!$M38:$O38), VLOOKUP( APIF_Import!$O38 &amp; APIF_Import!$J$1,Podesavanja!$AA$3:$AD$28, 4, 0), 0))</f>
        <v/>
      </c>
      <c r="K38" s="230" t="str">
        <f ca="1">IF( ISNA( VLOOKUP( APIF_Import!$O38 &amp; APIF_Import!$K$1,Podesavanja!$AA$3:$AD$28, 4, 0)), "", VLOOKUP( APIF_Import!$C38, INDIRECT( "Lookup_" &amp; APIF_Import!$M38:$O38), VLOOKUP( APIF_Import!$O38 &amp; APIF_Import!$K$1,Podesavanja!$AA$3:$AD$28, 4, 0), 0))</f>
        <v/>
      </c>
      <c r="L38" s="230" t="str">
        <f ca="1">IF( ISNA( VLOOKUP( APIF_Import!$O38 &amp; APIF_Import!$L$1,Podesavanja!$AA$3:$AD$28, 4, 0)), "", VLOOKUP( APIF_Import!$C38, INDIRECT( "Lookup_" &amp; APIF_Import!$M38:$O38), VLOOKUP( APIF_Import!$O38 &amp; APIF_Import!$L$1,Podesavanja!$AA$3:$AD$28, 4, 0), 0))</f>
        <v/>
      </c>
      <c r="M38" s="230" t="str">
        <f ca="1">IF( ISNA( VLOOKUP( APIF_Import!$O38 &amp; APIF_Import!$M$1,Podesavanja!$AA$3:$AD$28, 4, 0)), "", VLOOKUP( APIF_Import!$C38, INDIRECT( "Lookup_" &amp; APIF_Import!$M38:$O38), VLOOKUP( APIF_Import!$O38 &amp; APIF_Import!$M$1,Podesavanja!$AA$3:$AD$28, 4, 0), 0))</f>
        <v/>
      </c>
      <c r="N38" s="8">
        <v>37</v>
      </c>
      <c r="O38" s="230" t="s">
        <v>2897</v>
      </c>
    </row>
    <row r="39" spans="2:15">
      <c r="B39" s="44">
        <f ca="1">VLOOKUP( APIF_Import!$O39, Podesavanja!$N$3:$Q$9, 4, 0)</f>
        <v>1</v>
      </c>
      <c r="C39" s="229">
        <f ca="1">VLOOKUP( APIF_Import!$N39, Aop!$A$2:$P$456, 4, 0)</f>
        <v>38</v>
      </c>
      <c r="D39" s="230" t="str">
        <f ca="1">IF( ISNA( VLOOKUP( APIF_Import!$O39 &amp; APIF_Import!$D$1,Podesavanja!$AA$3:$AD$28, 4, 0)), "", SUBSTITUTE( VALUE( VLOOKUP( APIF_Import!$C39, INDIRECT( "Lookup_" &amp; APIF_Import!$O39), VLOOKUP( APIF_Import!$O39 &amp; APIF_Import!$D$1,Podesavanja!$AA$3:$AD$28, 4, 0), 0)), ".", ","))</f>
        <v>0</v>
      </c>
      <c r="E39" s="230">
        <f ca="1">IF( ISNA( VLOOKUP( APIF_Import!$O39 &amp; APIF_Import!$E$1,Podesavanja!$AA$3:$AD$28, 4, 0)), "", VLOOKUP( APIF_Import!$C39, INDIRECT( "Lookup_" &amp; APIF_Import!$O39), VLOOKUP( APIF_Import!$O39 &amp; APIF_Import!$E$1,Podesavanja!$AA$3:$AD$28, 4, 0), 0))</f>
        <v>0</v>
      </c>
      <c r="F39" s="230">
        <f ca="1">IF( ISNA( VLOOKUP( APIF_Import!$O39 &amp; APIF_Import!$F$1,Podesavanja!$AA$3:$AD$28, 4, 0)), "", VLOOKUP( APIF_Import!$C39, INDIRECT( "Lookup_" &amp; APIF_Import!$O39), VLOOKUP( APIF_Import!$O39 &amp; APIF_Import!$F$1,Podesavanja!$AA$3:$AD$28, 4, 0), 0))</f>
        <v>0</v>
      </c>
      <c r="G39" s="230">
        <f ca="1">IF( ISNA( VLOOKUP( APIF_Import!$O39 &amp; APIF_Import!$G$1,Podesavanja!$AA$3:$AD$28, 4, 0)), "", VLOOKUP( APIF_Import!$C39, INDIRECT( "Lookup_" &amp; APIF_Import!$O39), VLOOKUP( APIF_Import!$O39 &amp; APIF_Import!$G$1,Podesavanja!$AA$3:$AD$28, 4, 0), 0))</f>
        <v>0</v>
      </c>
      <c r="H39" s="230" t="str">
        <f ca="1">IF( ISNA( VLOOKUP( APIF_Import!$O39 &amp; APIF_Import!$H$1,Podesavanja!$AA$3:$AD$28, 4, 0)), "", VLOOKUP( APIF_Import!$C39, INDIRECT( "Lookup_" &amp; APIF_Import!$O39), VLOOKUP( APIF_Import!$O39 &amp; APIF_Import!$H$1,Podesavanja!$AA$3:$AD$28, 4, 0), 0))</f>
        <v/>
      </c>
      <c r="I39" s="230" t="str">
        <f ca="1">IF( ISNA( VLOOKUP( APIF_Import!$O39 &amp; APIF_Import!$I$1,Podesavanja!$AA$3:$AD$28, 4, 0)), "", VLOOKUP( APIF_Import!$C39, INDIRECT( "Lookup_" &amp; APIF_Import!$M39:$O39), VLOOKUP( APIF_Import!$O39 &amp; APIF_Import!$I$1,Podesavanja!$AA$3:$AD$28, 4, 0), 0))</f>
        <v/>
      </c>
      <c r="J39" s="230" t="str">
        <f ca="1">IF( ISNA( VLOOKUP( APIF_Import!$O39 &amp; APIF_Import!$J$1,Podesavanja!$AA$3:$AD$28, 4, 0)), "", VLOOKUP( APIF_Import!$C39, INDIRECT( "Lookup_" &amp; APIF_Import!$M39:$O39), VLOOKUP( APIF_Import!$O39 &amp; APIF_Import!$J$1,Podesavanja!$AA$3:$AD$28, 4, 0), 0))</f>
        <v/>
      </c>
      <c r="K39" s="230" t="str">
        <f ca="1">IF( ISNA( VLOOKUP( APIF_Import!$O39 &amp; APIF_Import!$K$1,Podesavanja!$AA$3:$AD$28, 4, 0)), "", VLOOKUP( APIF_Import!$C39, INDIRECT( "Lookup_" &amp; APIF_Import!$M39:$O39), VLOOKUP( APIF_Import!$O39 &amp; APIF_Import!$K$1,Podesavanja!$AA$3:$AD$28, 4, 0), 0))</f>
        <v/>
      </c>
      <c r="L39" s="230" t="str">
        <f ca="1">IF( ISNA( VLOOKUP( APIF_Import!$O39 &amp; APIF_Import!$L$1,Podesavanja!$AA$3:$AD$28, 4, 0)), "", VLOOKUP( APIF_Import!$C39, INDIRECT( "Lookup_" &amp; APIF_Import!$M39:$O39), VLOOKUP( APIF_Import!$O39 &amp; APIF_Import!$L$1,Podesavanja!$AA$3:$AD$28, 4, 0), 0))</f>
        <v/>
      </c>
      <c r="M39" s="230" t="str">
        <f ca="1">IF( ISNA( VLOOKUP( APIF_Import!$O39 &amp; APIF_Import!$M$1,Podesavanja!$AA$3:$AD$28, 4, 0)), "", VLOOKUP( APIF_Import!$C39, INDIRECT( "Lookup_" &amp; APIF_Import!$M39:$O39), VLOOKUP( APIF_Import!$O39 &amp; APIF_Import!$M$1,Podesavanja!$AA$3:$AD$28, 4, 0), 0))</f>
        <v/>
      </c>
      <c r="N39" s="8">
        <v>38</v>
      </c>
      <c r="O39" s="230" t="s">
        <v>2897</v>
      </c>
    </row>
    <row r="40" spans="2:15">
      <c r="B40" s="44">
        <f ca="1">VLOOKUP( APIF_Import!$O40, Podesavanja!$N$3:$Q$9, 4, 0)</f>
        <v>1</v>
      </c>
      <c r="C40" s="229">
        <f ca="1">VLOOKUP( APIF_Import!$N40, Aop!$A$2:$P$456, 4, 0)</f>
        <v>39</v>
      </c>
      <c r="D40" s="230" t="str">
        <f ca="1">IF( ISNA( VLOOKUP( APIF_Import!$O40 &amp; APIF_Import!$D$1,Podesavanja!$AA$3:$AD$28, 4, 0)), "", SUBSTITUTE( VALUE( VLOOKUP( APIF_Import!$C40, INDIRECT( "Lookup_" &amp; APIF_Import!$O40), VLOOKUP( APIF_Import!$O40 &amp; APIF_Import!$D$1,Podesavanja!$AA$3:$AD$28, 4, 0), 0)), ".", ","))</f>
        <v>0</v>
      </c>
      <c r="E40" s="230">
        <f ca="1">IF( ISNA( VLOOKUP( APIF_Import!$O40 &amp; APIF_Import!$E$1,Podesavanja!$AA$3:$AD$28, 4, 0)), "", VLOOKUP( APIF_Import!$C40, INDIRECT( "Lookup_" &amp; APIF_Import!$O40), VLOOKUP( APIF_Import!$O40 &amp; APIF_Import!$E$1,Podesavanja!$AA$3:$AD$28, 4, 0), 0))</f>
        <v>0</v>
      </c>
      <c r="F40" s="230">
        <f ca="1">IF( ISNA( VLOOKUP( APIF_Import!$O40 &amp; APIF_Import!$F$1,Podesavanja!$AA$3:$AD$28, 4, 0)), "", VLOOKUP( APIF_Import!$C40, INDIRECT( "Lookup_" &amp; APIF_Import!$O40), VLOOKUP( APIF_Import!$O40 &amp; APIF_Import!$F$1,Podesavanja!$AA$3:$AD$28, 4, 0), 0))</f>
        <v>0</v>
      </c>
      <c r="G40" s="230">
        <f ca="1">IF( ISNA( VLOOKUP( APIF_Import!$O40 &amp; APIF_Import!$G$1,Podesavanja!$AA$3:$AD$28, 4, 0)), "", VLOOKUP( APIF_Import!$C40, INDIRECT( "Lookup_" &amp; APIF_Import!$O40), VLOOKUP( APIF_Import!$O40 &amp; APIF_Import!$G$1,Podesavanja!$AA$3:$AD$28, 4, 0), 0))</f>
        <v>0</v>
      </c>
      <c r="H40" s="230" t="str">
        <f ca="1">IF( ISNA( VLOOKUP( APIF_Import!$O40 &amp; APIF_Import!$H$1,Podesavanja!$AA$3:$AD$28, 4, 0)), "", VLOOKUP( APIF_Import!$C40, INDIRECT( "Lookup_" &amp; APIF_Import!$O40), VLOOKUP( APIF_Import!$O40 &amp; APIF_Import!$H$1,Podesavanja!$AA$3:$AD$28, 4, 0), 0))</f>
        <v/>
      </c>
      <c r="I40" s="230" t="str">
        <f ca="1">IF( ISNA( VLOOKUP( APIF_Import!$O40 &amp; APIF_Import!$I$1,Podesavanja!$AA$3:$AD$28, 4, 0)), "", VLOOKUP( APIF_Import!$C40, INDIRECT( "Lookup_" &amp; APIF_Import!$M40:$O40), VLOOKUP( APIF_Import!$O40 &amp; APIF_Import!$I$1,Podesavanja!$AA$3:$AD$28, 4, 0), 0))</f>
        <v/>
      </c>
      <c r="J40" s="230" t="str">
        <f ca="1">IF( ISNA( VLOOKUP( APIF_Import!$O40 &amp; APIF_Import!$J$1,Podesavanja!$AA$3:$AD$28, 4, 0)), "", VLOOKUP( APIF_Import!$C40, INDIRECT( "Lookup_" &amp; APIF_Import!$M40:$O40), VLOOKUP( APIF_Import!$O40 &amp; APIF_Import!$J$1,Podesavanja!$AA$3:$AD$28, 4, 0), 0))</f>
        <v/>
      </c>
      <c r="K40" s="230" t="str">
        <f ca="1">IF( ISNA( VLOOKUP( APIF_Import!$O40 &amp; APIF_Import!$K$1,Podesavanja!$AA$3:$AD$28, 4, 0)), "", VLOOKUP( APIF_Import!$C40, INDIRECT( "Lookup_" &amp; APIF_Import!$M40:$O40), VLOOKUP( APIF_Import!$O40 &amp; APIF_Import!$K$1,Podesavanja!$AA$3:$AD$28, 4, 0), 0))</f>
        <v/>
      </c>
      <c r="L40" s="230" t="str">
        <f ca="1">IF( ISNA( VLOOKUP( APIF_Import!$O40 &amp; APIF_Import!$L$1,Podesavanja!$AA$3:$AD$28, 4, 0)), "", VLOOKUP( APIF_Import!$C40, INDIRECT( "Lookup_" &amp; APIF_Import!$M40:$O40), VLOOKUP( APIF_Import!$O40 &amp; APIF_Import!$L$1,Podesavanja!$AA$3:$AD$28, 4, 0), 0))</f>
        <v/>
      </c>
      <c r="M40" s="230" t="str">
        <f ca="1">IF( ISNA( VLOOKUP( APIF_Import!$O40 &amp; APIF_Import!$M$1,Podesavanja!$AA$3:$AD$28, 4, 0)), "", VLOOKUP( APIF_Import!$C40, INDIRECT( "Lookup_" &amp; APIF_Import!$M40:$O40), VLOOKUP( APIF_Import!$O40 &amp; APIF_Import!$M$1,Podesavanja!$AA$3:$AD$28, 4, 0), 0))</f>
        <v/>
      </c>
      <c r="N40" s="8">
        <v>39</v>
      </c>
      <c r="O40" s="230" t="s">
        <v>2897</v>
      </c>
    </row>
    <row r="41" spans="2:15">
      <c r="B41" s="44">
        <f ca="1">VLOOKUP( APIF_Import!$O41, Podesavanja!$N$3:$Q$9, 4, 0)</f>
        <v>1</v>
      </c>
      <c r="C41" s="229">
        <f ca="1">VLOOKUP( APIF_Import!$N41, Aop!$A$2:$P$456, 4, 0)</f>
        <v>40</v>
      </c>
      <c r="D41" s="230" t="str">
        <f ca="1">IF( ISNA( VLOOKUP( APIF_Import!$O41 &amp; APIF_Import!$D$1,Podesavanja!$AA$3:$AD$28, 4, 0)), "", SUBSTITUTE( VALUE( VLOOKUP( APIF_Import!$C41, INDIRECT( "Lookup_" &amp; APIF_Import!$O41), VLOOKUP( APIF_Import!$O41 &amp; APIF_Import!$D$1,Podesavanja!$AA$3:$AD$28, 4, 0), 0)), ".", ","))</f>
        <v>92854</v>
      </c>
      <c r="E41" s="230">
        <f ca="1">IF( ISNA( VLOOKUP( APIF_Import!$O41 &amp; APIF_Import!$E$1,Podesavanja!$AA$3:$AD$28, 4, 0)), "", VLOOKUP( APIF_Import!$C41, INDIRECT( "Lookup_" &amp; APIF_Import!$O41), VLOOKUP( APIF_Import!$O41 &amp; APIF_Import!$E$1,Podesavanja!$AA$3:$AD$28, 4, 0), 0))</f>
        <v>0</v>
      </c>
      <c r="F41" s="230">
        <f ca="1">IF( ISNA( VLOOKUP( APIF_Import!$O41 &amp; APIF_Import!$F$1,Podesavanja!$AA$3:$AD$28, 4, 0)), "", VLOOKUP( APIF_Import!$C41, INDIRECT( "Lookup_" &amp; APIF_Import!$O41), VLOOKUP( APIF_Import!$O41 &amp; APIF_Import!$F$1,Podesavanja!$AA$3:$AD$28, 4, 0), 0))</f>
        <v>92854</v>
      </c>
      <c r="G41" s="230">
        <f ca="1">IF( ISNA( VLOOKUP( APIF_Import!$O41 &amp; APIF_Import!$G$1,Podesavanja!$AA$3:$AD$28, 4, 0)), "", VLOOKUP( APIF_Import!$C41, INDIRECT( "Lookup_" &amp; APIF_Import!$O41), VLOOKUP( APIF_Import!$O41 &amp; APIF_Import!$G$1,Podesavanja!$AA$3:$AD$28, 4, 0), 0))</f>
        <v>92854</v>
      </c>
      <c r="H41" s="230" t="str">
        <f ca="1">IF( ISNA( VLOOKUP( APIF_Import!$O41 &amp; APIF_Import!$H$1,Podesavanja!$AA$3:$AD$28, 4, 0)), "", VLOOKUP( APIF_Import!$C41, INDIRECT( "Lookup_" &amp; APIF_Import!$O41), VLOOKUP( APIF_Import!$O41 &amp; APIF_Import!$H$1,Podesavanja!$AA$3:$AD$28, 4, 0), 0))</f>
        <v/>
      </c>
      <c r="I41" s="230" t="str">
        <f ca="1">IF( ISNA( VLOOKUP( APIF_Import!$O41 &amp; APIF_Import!$I$1,Podesavanja!$AA$3:$AD$28, 4, 0)), "", VLOOKUP( APIF_Import!$C41, INDIRECT( "Lookup_" &amp; APIF_Import!$M41:$O41), VLOOKUP( APIF_Import!$O41 &amp; APIF_Import!$I$1,Podesavanja!$AA$3:$AD$28, 4, 0), 0))</f>
        <v/>
      </c>
      <c r="J41" s="230" t="str">
        <f ca="1">IF( ISNA( VLOOKUP( APIF_Import!$O41 &amp; APIF_Import!$J$1,Podesavanja!$AA$3:$AD$28, 4, 0)), "", VLOOKUP( APIF_Import!$C41, INDIRECT( "Lookup_" &amp; APIF_Import!$M41:$O41), VLOOKUP( APIF_Import!$O41 &amp; APIF_Import!$J$1,Podesavanja!$AA$3:$AD$28, 4, 0), 0))</f>
        <v/>
      </c>
      <c r="K41" s="230" t="str">
        <f ca="1">IF( ISNA( VLOOKUP( APIF_Import!$O41 &amp; APIF_Import!$K$1,Podesavanja!$AA$3:$AD$28, 4, 0)), "", VLOOKUP( APIF_Import!$C41, INDIRECT( "Lookup_" &amp; APIF_Import!$M41:$O41), VLOOKUP( APIF_Import!$O41 &amp; APIF_Import!$K$1,Podesavanja!$AA$3:$AD$28, 4, 0), 0))</f>
        <v/>
      </c>
      <c r="L41" s="230" t="str">
        <f ca="1">IF( ISNA( VLOOKUP( APIF_Import!$O41 &amp; APIF_Import!$L$1,Podesavanja!$AA$3:$AD$28, 4, 0)), "", VLOOKUP( APIF_Import!$C41, INDIRECT( "Lookup_" &amp; APIF_Import!$M41:$O41), VLOOKUP( APIF_Import!$O41 &amp; APIF_Import!$L$1,Podesavanja!$AA$3:$AD$28, 4, 0), 0))</f>
        <v/>
      </c>
      <c r="M41" s="230" t="str">
        <f ca="1">IF( ISNA( VLOOKUP( APIF_Import!$O41 &amp; APIF_Import!$M$1,Podesavanja!$AA$3:$AD$28, 4, 0)), "", VLOOKUP( APIF_Import!$C41, INDIRECT( "Lookup_" &amp; APIF_Import!$M41:$O41), VLOOKUP( APIF_Import!$O41 &amp; APIF_Import!$M$1,Podesavanja!$AA$3:$AD$28, 4, 0), 0))</f>
        <v/>
      </c>
      <c r="N41" s="8">
        <v>40</v>
      </c>
      <c r="O41" s="230" t="s">
        <v>2897</v>
      </c>
    </row>
    <row r="42" spans="2:15">
      <c r="B42" s="44">
        <f ca="1">VLOOKUP( APIF_Import!$O42, Podesavanja!$N$3:$Q$9, 4, 0)</f>
        <v>1</v>
      </c>
      <c r="C42" s="229">
        <f ca="1">VLOOKUP( APIF_Import!$N42, Aop!$A$2:$P$456, 4, 0)</f>
        <v>41</v>
      </c>
      <c r="D42" s="230" t="str">
        <f ca="1">IF( ISNA( VLOOKUP( APIF_Import!$O42 &amp; APIF_Import!$D$1,Podesavanja!$AA$3:$AD$28, 4, 0)), "", SUBSTITUTE( VALUE( VLOOKUP( APIF_Import!$C42, INDIRECT( "Lookup_" &amp; APIF_Import!$O42), VLOOKUP( APIF_Import!$O42 &amp; APIF_Import!$D$1,Podesavanja!$AA$3:$AD$28, 4, 0), 0)), ".", ","))</f>
        <v>112173</v>
      </c>
      <c r="E42" s="230">
        <f ca="1">IF( ISNA( VLOOKUP( APIF_Import!$O42 &amp; APIF_Import!$E$1,Podesavanja!$AA$3:$AD$28, 4, 0)), "", VLOOKUP( APIF_Import!$C42, INDIRECT( "Lookup_" &amp; APIF_Import!$O42), VLOOKUP( APIF_Import!$O42 &amp; APIF_Import!$E$1,Podesavanja!$AA$3:$AD$28, 4, 0), 0))</f>
        <v>0</v>
      </c>
      <c r="F42" s="230">
        <f ca="1">IF( ISNA( VLOOKUP( APIF_Import!$O42 &amp; APIF_Import!$F$1,Podesavanja!$AA$3:$AD$28, 4, 0)), "", VLOOKUP( APIF_Import!$C42, INDIRECT( "Lookup_" &amp; APIF_Import!$O42), VLOOKUP( APIF_Import!$O42 &amp; APIF_Import!$F$1,Podesavanja!$AA$3:$AD$28, 4, 0), 0))</f>
        <v>112173</v>
      </c>
      <c r="G42" s="230">
        <f ca="1">IF( ISNA( VLOOKUP( APIF_Import!$O42 &amp; APIF_Import!$G$1,Podesavanja!$AA$3:$AD$28, 4, 0)), "", VLOOKUP( APIF_Import!$C42, INDIRECT( "Lookup_" &amp; APIF_Import!$O42), VLOOKUP( APIF_Import!$O42 &amp; APIF_Import!$G$1,Podesavanja!$AA$3:$AD$28, 4, 0), 0))</f>
        <v>112173</v>
      </c>
      <c r="H42" s="230" t="str">
        <f ca="1">IF( ISNA( VLOOKUP( APIF_Import!$O42 &amp; APIF_Import!$H$1,Podesavanja!$AA$3:$AD$28, 4, 0)), "", VLOOKUP( APIF_Import!$C42, INDIRECT( "Lookup_" &amp; APIF_Import!$O42), VLOOKUP( APIF_Import!$O42 &amp; APIF_Import!$H$1,Podesavanja!$AA$3:$AD$28, 4, 0), 0))</f>
        <v/>
      </c>
      <c r="I42" s="230" t="str">
        <f ca="1">IF( ISNA( VLOOKUP( APIF_Import!$O42 &amp; APIF_Import!$I$1,Podesavanja!$AA$3:$AD$28, 4, 0)), "", VLOOKUP( APIF_Import!$C42, INDIRECT( "Lookup_" &amp; APIF_Import!$M42:$O42), VLOOKUP( APIF_Import!$O42 &amp; APIF_Import!$I$1,Podesavanja!$AA$3:$AD$28, 4, 0), 0))</f>
        <v/>
      </c>
      <c r="J42" s="230" t="str">
        <f ca="1">IF( ISNA( VLOOKUP( APIF_Import!$O42 &amp; APIF_Import!$J$1,Podesavanja!$AA$3:$AD$28, 4, 0)), "", VLOOKUP( APIF_Import!$C42, INDIRECT( "Lookup_" &amp; APIF_Import!$M42:$O42), VLOOKUP( APIF_Import!$O42 &amp; APIF_Import!$J$1,Podesavanja!$AA$3:$AD$28, 4, 0), 0))</f>
        <v/>
      </c>
      <c r="K42" s="230" t="str">
        <f ca="1">IF( ISNA( VLOOKUP( APIF_Import!$O42 &amp; APIF_Import!$K$1,Podesavanja!$AA$3:$AD$28, 4, 0)), "", VLOOKUP( APIF_Import!$C42, INDIRECT( "Lookup_" &amp; APIF_Import!$M42:$O42), VLOOKUP( APIF_Import!$O42 &amp; APIF_Import!$K$1,Podesavanja!$AA$3:$AD$28, 4, 0), 0))</f>
        <v/>
      </c>
      <c r="L42" s="230" t="str">
        <f ca="1">IF( ISNA( VLOOKUP( APIF_Import!$O42 &amp; APIF_Import!$L$1,Podesavanja!$AA$3:$AD$28, 4, 0)), "", VLOOKUP( APIF_Import!$C42, INDIRECT( "Lookup_" &amp; APIF_Import!$M42:$O42), VLOOKUP( APIF_Import!$O42 &amp; APIF_Import!$L$1,Podesavanja!$AA$3:$AD$28, 4, 0), 0))</f>
        <v/>
      </c>
      <c r="M42" s="230" t="str">
        <f ca="1">IF( ISNA( VLOOKUP( APIF_Import!$O42 &amp; APIF_Import!$M$1,Podesavanja!$AA$3:$AD$28, 4, 0)), "", VLOOKUP( APIF_Import!$C42, INDIRECT( "Lookup_" &amp; APIF_Import!$M42:$O42), VLOOKUP( APIF_Import!$O42 &amp; APIF_Import!$M$1,Podesavanja!$AA$3:$AD$28, 4, 0), 0))</f>
        <v/>
      </c>
      <c r="N42" s="8">
        <v>41</v>
      </c>
      <c r="O42" s="230" t="s">
        <v>2897</v>
      </c>
    </row>
    <row r="43" spans="2:15">
      <c r="B43" s="44">
        <f ca="1">VLOOKUP( APIF_Import!$O43, Podesavanja!$N$3:$Q$9, 4, 0)</f>
        <v>1</v>
      </c>
      <c r="C43" s="229">
        <f ca="1">VLOOKUP( APIF_Import!$N43, Aop!$A$2:$P$456, 4, 0)</f>
        <v>42</v>
      </c>
      <c r="D43" s="230" t="str">
        <f ca="1">IF( ISNA( VLOOKUP( APIF_Import!$O43 &amp; APIF_Import!$D$1,Podesavanja!$AA$3:$AD$28, 4, 0)), "", SUBSTITUTE( VALUE( VLOOKUP( APIF_Import!$C43, INDIRECT( "Lookup_" &amp; APIF_Import!$O43), VLOOKUP( APIF_Import!$O43 &amp; APIF_Import!$D$1,Podesavanja!$AA$3:$AD$28, 4, 0), 0)), ".", ","))</f>
        <v>0</v>
      </c>
      <c r="E43" s="230">
        <f ca="1">IF( ISNA( VLOOKUP( APIF_Import!$O43 &amp; APIF_Import!$E$1,Podesavanja!$AA$3:$AD$28, 4, 0)), "", VLOOKUP( APIF_Import!$C43, INDIRECT( "Lookup_" &amp; APIF_Import!$O43), VLOOKUP( APIF_Import!$O43 &amp; APIF_Import!$E$1,Podesavanja!$AA$3:$AD$28, 4, 0), 0))</f>
        <v>0</v>
      </c>
      <c r="F43" s="230">
        <f ca="1">IF( ISNA( VLOOKUP( APIF_Import!$O43 &amp; APIF_Import!$F$1,Podesavanja!$AA$3:$AD$28, 4, 0)), "", VLOOKUP( APIF_Import!$C43, INDIRECT( "Lookup_" &amp; APIF_Import!$O43), VLOOKUP( APIF_Import!$O43 &amp; APIF_Import!$F$1,Podesavanja!$AA$3:$AD$28, 4, 0), 0))</f>
        <v>0</v>
      </c>
      <c r="G43" s="230">
        <f ca="1">IF( ISNA( VLOOKUP( APIF_Import!$O43 &amp; APIF_Import!$G$1,Podesavanja!$AA$3:$AD$28, 4, 0)), "", VLOOKUP( APIF_Import!$C43, INDIRECT( "Lookup_" &amp; APIF_Import!$O43), VLOOKUP( APIF_Import!$O43 &amp; APIF_Import!$G$1,Podesavanja!$AA$3:$AD$28, 4, 0), 0))</f>
        <v>0</v>
      </c>
      <c r="H43" s="230" t="str">
        <f ca="1">IF( ISNA( VLOOKUP( APIF_Import!$O43 &amp; APIF_Import!$H$1,Podesavanja!$AA$3:$AD$28, 4, 0)), "", VLOOKUP( APIF_Import!$C43, INDIRECT( "Lookup_" &amp; APIF_Import!$O43), VLOOKUP( APIF_Import!$O43 &amp; APIF_Import!$H$1,Podesavanja!$AA$3:$AD$28, 4, 0), 0))</f>
        <v/>
      </c>
      <c r="I43" s="230" t="str">
        <f ca="1">IF( ISNA( VLOOKUP( APIF_Import!$O43 &amp; APIF_Import!$I$1,Podesavanja!$AA$3:$AD$28, 4, 0)), "", VLOOKUP( APIF_Import!$C43, INDIRECT( "Lookup_" &amp; APIF_Import!$M43:$O43), VLOOKUP( APIF_Import!$O43 &amp; APIF_Import!$I$1,Podesavanja!$AA$3:$AD$28, 4, 0), 0))</f>
        <v/>
      </c>
      <c r="J43" s="230" t="str">
        <f ca="1">IF( ISNA( VLOOKUP( APIF_Import!$O43 &amp; APIF_Import!$J$1,Podesavanja!$AA$3:$AD$28, 4, 0)), "", VLOOKUP( APIF_Import!$C43, INDIRECT( "Lookup_" &amp; APIF_Import!$M43:$O43), VLOOKUP( APIF_Import!$O43 &amp; APIF_Import!$J$1,Podesavanja!$AA$3:$AD$28, 4, 0), 0))</f>
        <v/>
      </c>
      <c r="K43" s="230" t="str">
        <f ca="1">IF( ISNA( VLOOKUP( APIF_Import!$O43 &amp; APIF_Import!$K$1,Podesavanja!$AA$3:$AD$28, 4, 0)), "", VLOOKUP( APIF_Import!$C43, INDIRECT( "Lookup_" &amp; APIF_Import!$M43:$O43), VLOOKUP( APIF_Import!$O43 &amp; APIF_Import!$K$1,Podesavanja!$AA$3:$AD$28, 4, 0), 0))</f>
        <v/>
      </c>
      <c r="L43" s="230" t="str">
        <f ca="1">IF( ISNA( VLOOKUP( APIF_Import!$O43 &amp; APIF_Import!$L$1,Podesavanja!$AA$3:$AD$28, 4, 0)), "", VLOOKUP( APIF_Import!$C43, INDIRECT( "Lookup_" &amp; APIF_Import!$M43:$O43), VLOOKUP( APIF_Import!$O43 &amp; APIF_Import!$L$1,Podesavanja!$AA$3:$AD$28, 4, 0), 0))</f>
        <v/>
      </c>
      <c r="M43" s="230" t="str">
        <f ca="1">IF( ISNA( VLOOKUP( APIF_Import!$O43 &amp; APIF_Import!$M$1,Podesavanja!$AA$3:$AD$28, 4, 0)), "", VLOOKUP( APIF_Import!$C43, INDIRECT( "Lookup_" &amp; APIF_Import!$M43:$O43), VLOOKUP( APIF_Import!$O43 &amp; APIF_Import!$M$1,Podesavanja!$AA$3:$AD$28, 4, 0), 0))</f>
        <v/>
      </c>
      <c r="N43" s="8">
        <v>42</v>
      </c>
      <c r="O43" s="230" t="s">
        <v>2897</v>
      </c>
    </row>
    <row r="44" spans="2:15">
      <c r="B44" s="44">
        <f ca="1">VLOOKUP( APIF_Import!$O44, Podesavanja!$N$3:$Q$9, 4, 0)</f>
        <v>1</v>
      </c>
      <c r="C44" s="229">
        <f ca="1">VLOOKUP( APIF_Import!$N44, Aop!$A$2:$P$456, 4, 0)</f>
        <v>43</v>
      </c>
      <c r="D44" s="230" t="str">
        <f ca="1">IF( ISNA( VLOOKUP( APIF_Import!$O44 &amp; APIF_Import!$D$1,Podesavanja!$AA$3:$AD$28, 4, 0)), "", SUBSTITUTE( VALUE( VLOOKUP( APIF_Import!$C44, INDIRECT( "Lookup_" &amp; APIF_Import!$O44), VLOOKUP( APIF_Import!$O44 &amp; APIF_Import!$D$1,Podesavanja!$AA$3:$AD$28, 4, 0), 0)), ".", ","))</f>
        <v>11559</v>
      </c>
      <c r="E44" s="230">
        <f ca="1">IF( ISNA( VLOOKUP( APIF_Import!$O44 &amp; APIF_Import!$E$1,Podesavanja!$AA$3:$AD$28, 4, 0)), "", VLOOKUP( APIF_Import!$C44, INDIRECT( "Lookup_" &amp; APIF_Import!$O44), VLOOKUP( APIF_Import!$O44 &amp; APIF_Import!$E$1,Podesavanja!$AA$3:$AD$28, 4, 0), 0))</f>
        <v>0</v>
      </c>
      <c r="F44" s="230">
        <f ca="1">IF( ISNA( VLOOKUP( APIF_Import!$O44 &amp; APIF_Import!$F$1,Podesavanja!$AA$3:$AD$28, 4, 0)), "", VLOOKUP( APIF_Import!$C44, INDIRECT( "Lookup_" &amp; APIF_Import!$O44), VLOOKUP( APIF_Import!$O44 &amp; APIF_Import!$F$1,Podesavanja!$AA$3:$AD$28, 4, 0), 0))</f>
        <v>11559</v>
      </c>
      <c r="G44" s="230">
        <f ca="1">IF( ISNA( VLOOKUP( APIF_Import!$O44 &amp; APIF_Import!$G$1,Podesavanja!$AA$3:$AD$28, 4, 0)), "", VLOOKUP( APIF_Import!$C44, INDIRECT( "Lookup_" &amp; APIF_Import!$O44), VLOOKUP( APIF_Import!$O44 &amp; APIF_Import!$G$1,Podesavanja!$AA$3:$AD$28, 4, 0), 0))</f>
        <v>8798</v>
      </c>
      <c r="H44" s="230" t="str">
        <f ca="1">IF( ISNA( VLOOKUP( APIF_Import!$O44 &amp; APIF_Import!$H$1,Podesavanja!$AA$3:$AD$28, 4, 0)), "", VLOOKUP( APIF_Import!$C44, INDIRECT( "Lookup_" &amp; APIF_Import!$O44), VLOOKUP( APIF_Import!$O44 &amp; APIF_Import!$H$1,Podesavanja!$AA$3:$AD$28, 4, 0), 0))</f>
        <v/>
      </c>
      <c r="I44" s="230" t="str">
        <f ca="1">IF( ISNA( VLOOKUP( APIF_Import!$O44 &amp; APIF_Import!$I$1,Podesavanja!$AA$3:$AD$28, 4, 0)), "", VLOOKUP( APIF_Import!$C44, INDIRECT( "Lookup_" &amp; APIF_Import!$M44:$O44), VLOOKUP( APIF_Import!$O44 &amp; APIF_Import!$I$1,Podesavanja!$AA$3:$AD$28, 4, 0), 0))</f>
        <v/>
      </c>
      <c r="J44" s="230" t="str">
        <f ca="1">IF( ISNA( VLOOKUP( APIF_Import!$O44 &amp; APIF_Import!$J$1,Podesavanja!$AA$3:$AD$28, 4, 0)), "", VLOOKUP( APIF_Import!$C44, INDIRECT( "Lookup_" &amp; APIF_Import!$M44:$O44), VLOOKUP( APIF_Import!$O44 &amp; APIF_Import!$J$1,Podesavanja!$AA$3:$AD$28, 4, 0), 0))</f>
        <v/>
      </c>
      <c r="K44" s="230" t="str">
        <f ca="1">IF( ISNA( VLOOKUP( APIF_Import!$O44 &amp; APIF_Import!$K$1,Podesavanja!$AA$3:$AD$28, 4, 0)), "", VLOOKUP( APIF_Import!$C44, INDIRECT( "Lookup_" &amp; APIF_Import!$M44:$O44), VLOOKUP( APIF_Import!$O44 &amp; APIF_Import!$K$1,Podesavanja!$AA$3:$AD$28, 4, 0), 0))</f>
        <v/>
      </c>
      <c r="L44" s="230" t="str">
        <f ca="1">IF( ISNA( VLOOKUP( APIF_Import!$O44 &amp; APIF_Import!$L$1,Podesavanja!$AA$3:$AD$28, 4, 0)), "", VLOOKUP( APIF_Import!$C44, INDIRECT( "Lookup_" &amp; APIF_Import!$M44:$O44), VLOOKUP( APIF_Import!$O44 &amp; APIF_Import!$L$1,Podesavanja!$AA$3:$AD$28, 4, 0), 0))</f>
        <v/>
      </c>
      <c r="M44" s="230" t="str">
        <f ca="1">IF( ISNA( VLOOKUP( APIF_Import!$O44 &amp; APIF_Import!$M$1,Podesavanja!$AA$3:$AD$28, 4, 0)), "", VLOOKUP( APIF_Import!$C44, INDIRECT( "Lookup_" &amp; APIF_Import!$M44:$O44), VLOOKUP( APIF_Import!$O44 &amp; APIF_Import!$M$1,Podesavanja!$AA$3:$AD$28, 4, 0), 0))</f>
        <v/>
      </c>
      <c r="N44" s="8">
        <v>43</v>
      </c>
      <c r="O44" s="230" t="s">
        <v>2897</v>
      </c>
    </row>
    <row r="45" spans="2:15">
      <c r="B45" s="44">
        <f ca="1">VLOOKUP( APIF_Import!$O45, Podesavanja!$N$3:$Q$9, 4, 0)</f>
        <v>1</v>
      </c>
      <c r="C45" s="229">
        <f ca="1">VLOOKUP( APIF_Import!$N45, Aop!$A$2:$P$456, 4, 0)</f>
        <v>44</v>
      </c>
      <c r="D45" s="230" t="str">
        <f ca="1">IF( ISNA( VLOOKUP( APIF_Import!$O45 &amp; APIF_Import!$D$1,Podesavanja!$AA$3:$AD$28, 4, 0)), "", SUBSTITUTE( VALUE( VLOOKUP( APIF_Import!$C45, INDIRECT( "Lookup_" &amp; APIF_Import!$O45), VLOOKUP( APIF_Import!$O45 &amp; APIF_Import!$D$1,Podesavanja!$AA$3:$AD$28, 4, 0), 0)), ".", ","))</f>
        <v>19036066</v>
      </c>
      <c r="E45" s="230">
        <f ca="1">IF( ISNA( VLOOKUP( APIF_Import!$O45 &amp; APIF_Import!$E$1,Podesavanja!$AA$3:$AD$28, 4, 0)), "", VLOOKUP( APIF_Import!$C45, INDIRECT( "Lookup_" &amp; APIF_Import!$O45), VLOOKUP( APIF_Import!$O45 &amp; APIF_Import!$E$1,Podesavanja!$AA$3:$AD$28, 4, 0), 0))</f>
        <v>0</v>
      </c>
      <c r="F45" s="230">
        <f ca="1">IF( ISNA( VLOOKUP( APIF_Import!$O45 &amp; APIF_Import!$F$1,Podesavanja!$AA$3:$AD$28, 4, 0)), "", VLOOKUP( APIF_Import!$C45, INDIRECT( "Lookup_" &amp; APIF_Import!$O45), VLOOKUP( APIF_Import!$O45 &amp; APIF_Import!$F$1,Podesavanja!$AA$3:$AD$28, 4, 0), 0))</f>
        <v>19036066</v>
      </c>
      <c r="G45" s="230">
        <f ca="1">IF( ISNA( VLOOKUP( APIF_Import!$O45 &amp; APIF_Import!$G$1,Podesavanja!$AA$3:$AD$28, 4, 0)), "", VLOOKUP( APIF_Import!$C45, INDIRECT( "Lookup_" &amp; APIF_Import!$O45), VLOOKUP( APIF_Import!$O45 &amp; APIF_Import!$G$1,Podesavanja!$AA$3:$AD$28, 4, 0), 0))</f>
        <v>18809986</v>
      </c>
      <c r="H45" s="230" t="str">
        <f ca="1">IF( ISNA( VLOOKUP( APIF_Import!$O45 &amp; APIF_Import!$H$1,Podesavanja!$AA$3:$AD$28, 4, 0)), "", VLOOKUP( APIF_Import!$C45, INDIRECT( "Lookup_" &amp; APIF_Import!$O45), VLOOKUP( APIF_Import!$O45 &amp; APIF_Import!$H$1,Podesavanja!$AA$3:$AD$28, 4, 0), 0))</f>
        <v/>
      </c>
      <c r="I45" s="230" t="str">
        <f ca="1">IF( ISNA( VLOOKUP( APIF_Import!$O45 &amp; APIF_Import!$I$1,Podesavanja!$AA$3:$AD$28, 4, 0)), "", VLOOKUP( APIF_Import!$C45, INDIRECT( "Lookup_" &amp; APIF_Import!$M45:$O45), VLOOKUP( APIF_Import!$O45 &amp; APIF_Import!$I$1,Podesavanja!$AA$3:$AD$28, 4, 0), 0))</f>
        <v/>
      </c>
      <c r="J45" s="230" t="str">
        <f ca="1">IF( ISNA( VLOOKUP( APIF_Import!$O45 &amp; APIF_Import!$J$1,Podesavanja!$AA$3:$AD$28, 4, 0)), "", VLOOKUP( APIF_Import!$C45, INDIRECT( "Lookup_" &amp; APIF_Import!$M45:$O45), VLOOKUP( APIF_Import!$O45 &amp; APIF_Import!$J$1,Podesavanja!$AA$3:$AD$28, 4, 0), 0))</f>
        <v/>
      </c>
      <c r="K45" s="230" t="str">
        <f ca="1">IF( ISNA( VLOOKUP( APIF_Import!$O45 &amp; APIF_Import!$K$1,Podesavanja!$AA$3:$AD$28, 4, 0)), "", VLOOKUP( APIF_Import!$C45, INDIRECT( "Lookup_" &amp; APIF_Import!$M45:$O45), VLOOKUP( APIF_Import!$O45 &amp; APIF_Import!$K$1,Podesavanja!$AA$3:$AD$28, 4, 0), 0))</f>
        <v/>
      </c>
      <c r="L45" s="230" t="str">
        <f ca="1">IF( ISNA( VLOOKUP( APIF_Import!$O45 &amp; APIF_Import!$L$1,Podesavanja!$AA$3:$AD$28, 4, 0)), "", VLOOKUP( APIF_Import!$C45, INDIRECT( "Lookup_" &amp; APIF_Import!$M45:$O45), VLOOKUP( APIF_Import!$O45 &amp; APIF_Import!$L$1,Podesavanja!$AA$3:$AD$28, 4, 0), 0))</f>
        <v/>
      </c>
      <c r="M45" s="230" t="str">
        <f ca="1">IF( ISNA( VLOOKUP( APIF_Import!$O45 &amp; APIF_Import!$M$1,Podesavanja!$AA$3:$AD$28, 4, 0)), "", VLOOKUP( APIF_Import!$C45, INDIRECT( "Lookup_" &amp; APIF_Import!$M45:$O45), VLOOKUP( APIF_Import!$O45 &amp; APIF_Import!$M$1,Podesavanja!$AA$3:$AD$28, 4, 0), 0))</f>
        <v/>
      </c>
      <c r="N45" s="8">
        <v>44</v>
      </c>
      <c r="O45" s="230" t="s">
        <v>2897</v>
      </c>
    </row>
    <row r="46" spans="2:15">
      <c r="B46" s="44">
        <f ca="1">VLOOKUP( APIF_Import!$O46, Podesavanja!$N$3:$Q$9, 4, 0)</f>
        <v>1</v>
      </c>
      <c r="C46" s="229">
        <f ca="1">VLOOKUP( APIF_Import!$N46, Aop!$A$2:$P$456, 4, 0)</f>
        <v>45</v>
      </c>
      <c r="D46" s="230" t="str">
        <f ca="1">IF( ISNA( VLOOKUP( APIF_Import!$O46 &amp; APIF_Import!$D$1,Podesavanja!$AA$3:$AD$28, 4, 0)), "", SUBSTITUTE( VALUE( VLOOKUP( APIF_Import!$C46, INDIRECT( "Lookup_" &amp; APIF_Import!$O46), VLOOKUP( APIF_Import!$O46 &amp; APIF_Import!$D$1,Podesavanja!$AA$3:$AD$28, 4, 0), 0)), ".", ","))</f>
        <v>336017</v>
      </c>
      <c r="E46" s="230">
        <f ca="1">IF( ISNA( VLOOKUP( APIF_Import!$O46 &amp; APIF_Import!$E$1,Podesavanja!$AA$3:$AD$28, 4, 0)), "", VLOOKUP( APIF_Import!$C46, INDIRECT( "Lookup_" &amp; APIF_Import!$O46), VLOOKUP( APIF_Import!$O46 &amp; APIF_Import!$E$1,Podesavanja!$AA$3:$AD$28, 4, 0), 0))</f>
        <v>0</v>
      </c>
      <c r="F46" s="230">
        <f ca="1">IF( ISNA( VLOOKUP( APIF_Import!$O46 &amp; APIF_Import!$F$1,Podesavanja!$AA$3:$AD$28, 4, 0)), "", VLOOKUP( APIF_Import!$C46, INDIRECT( "Lookup_" &amp; APIF_Import!$O46), VLOOKUP( APIF_Import!$O46 &amp; APIF_Import!$F$1,Podesavanja!$AA$3:$AD$28, 4, 0), 0))</f>
        <v>336017</v>
      </c>
      <c r="G46" s="230">
        <f ca="1">IF( ISNA( VLOOKUP( APIF_Import!$O46 &amp; APIF_Import!$G$1,Podesavanja!$AA$3:$AD$28, 4, 0)), "", VLOOKUP( APIF_Import!$C46, INDIRECT( "Lookup_" &amp; APIF_Import!$O46), VLOOKUP( APIF_Import!$O46 &amp; APIF_Import!$G$1,Podesavanja!$AA$3:$AD$28, 4, 0), 0))</f>
        <v>770834</v>
      </c>
      <c r="H46" s="230" t="str">
        <f ca="1">IF( ISNA( VLOOKUP( APIF_Import!$O46 &amp; APIF_Import!$H$1,Podesavanja!$AA$3:$AD$28, 4, 0)), "", VLOOKUP( APIF_Import!$C46, INDIRECT( "Lookup_" &amp; APIF_Import!$O46), VLOOKUP( APIF_Import!$O46 &amp; APIF_Import!$H$1,Podesavanja!$AA$3:$AD$28, 4, 0), 0))</f>
        <v/>
      </c>
      <c r="I46" s="230" t="str">
        <f ca="1">IF( ISNA( VLOOKUP( APIF_Import!$O46 &amp; APIF_Import!$I$1,Podesavanja!$AA$3:$AD$28, 4, 0)), "", VLOOKUP( APIF_Import!$C46, INDIRECT( "Lookup_" &amp; APIF_Import!$M46:$O46), VLOOKUP( APIF_Import!$O46 &amp; APIF_Import!$I$1,Podesavanja!$AA$3:$AD$28, 4, 0), 0))</f>
        <v/>
      </c>
      <c r="J46" s="230" t="str">
        <f ca="1">IF( ISNA( VLOOKUP( APIF_Import!$O46 &amp; APIF_Import!$J$1,Podesavanja!$AA$3:$AD$28, 4, 0)), "", VLOOKUP( APIF_Import!$C46, INDIRECT( "Lookup_" &amp; APIF_Import!$M46:$O46), VLOOKUP( APIF_Import!$O46 &amp; APIF_Import!$J$1,Podesavanja!$AA$3:$AD$28, 4, 0), 0))</f>
        <v/>
      </c>
      <c r="K46" s="230" t="str">
        <f ca="1">IF( ISNA( VLOOKUP( APIF_Import!$O46 &amp; APIF_Import!$K$1,Podesavanja!$AA$3:$AD$28, 4, 0)), "", VLOOKUP( APIF_Import!$C46, INDIRECT( "Lookup_" &amp; APIF_Import!$M46:$O46), VLOOKUP( APIF_Import!$O46 &amp; APIF_Import!$K$1,Podesavanja!$AA$3:$AD$28, 4, 0), 0))</f>
        <v/>
      </c>
      <c r="L46" s="230" t="str">
        <f ca="1">IF( ISNA( VLOOKUP( APIF_Import!$O46 &amp; APIF_Import!$L$1,Podesavanja!$AA$3:$AD$28, 4, 0)), "", VLOOKUP( APIF_Import!$C46, INDIRECT( "Lookup_" &amp; APIF_Import!$M46:$O46), VLOOKUP( APIF_Import!$O46 &amp; APIF_Import!$L$1,Podesavanja!$AA$3:$AD$28, 4, 0), 0))</f>
        <v/>
      </c>
      <c r="M46" s="230" t="str">
        <f ca="1">IF( ISNA( VLOOKUP( APIF_Import!$O46 &amp; APIF_Import!$M$1,Podesavanja!$AA$3:$AD$28, 4, 0)), "", VLOOKUP( APIF_Import!$C46, INDIRECT( "Lookup_" &amp; APIF_Import!$M46:$O46), VLOOKUP( APIF_Import!$O46 &amp; APIF_Import!$M$1,Podesavanja!$AA$3:$AD$28, 4, 0), 0))</f>
        <v/>
      </c>
      <c r="N46" s="8">
        <v>45</v>
      </c>
      <c r="O46" s="230" t="s">
        <v>2897</v>
      </c>
    </row>
    <row r="47" spans="2:15">
      <c r="B47" s="44">
        <f ca="1">VLOOKUP( APIF_Import!$O47, Podesavanja!$N$3:$Q$9, 4, 0)</f>
        <v>1</v>
      </c>
      <c r="C47" s="229">
        <f ca="1">VLOOKUP( APIF_Import!$N47, Aop!$A$2:$P$456, 4, 0)</f>
        <v>46</v>
      </c>
      <c r="D47" s="230" t="str">
        <f ca="1">IF( ISNA( VLOOKUP( APIF_Import!$O47 &amp; APIF_Import!$D$1,Podesavanja!$AA$3:$AD$28, 4, 0)), "", SUBSTITUTE( VALUE( VLOOKUP( APIF_Import!$C47, INDIRECT( "Lookup_" &amp; APIF_Import!$O47), VLOOKUP( APIF_Import!$O47 &amp; APIF_Import!$D$1,Podesavanja!$AA$3:$AD$28, 4, 0), 0)), ".", ","))</f>
        <v>140687</v>
      </c>
      <c r="E47" s="230">
        <f ca="1">IF( ISNA( VLOOKUP( APIF_Import!$O47 &amp; APIF_Import!$E$1,Podesavanja!$AA$3:$AD$28, 4, 0)), "", VLOOKUP( APIF_Import!$C47, INDIRECT( "Lookup_" &amp; APIF_Import!$O47), VLOOKUP( APIF_Import!$O47 &amp; APIF_Import!$E$1,Podesavanja!$AA$3:$AD$28, 4, 0), 0))</f>
        <v>0</v>
      </c>
      <c r="F47" s="230">
        <f ca="1">IF( ISNA( VLOOKUP( APIF_Import!$O47 &amp; APIF_Import!$F$1,Podesavanja!$AA$3:$AD$28, 4, 0)), "", VLOOKUP( APIF_Import!$C47, INDIRECT( "Lookup_" &amp; APIF_Import!$O47), VLOOKUP( APIF_Import!$O47 &amp; APIF_Import!$F$1,Podesavanja!$AA$3:$AD$28, 4, 0), 0))</f>
        <v>140687</v>
      </c>
      <c r="G47" s="230">
        <f ca="1">IF( ISNA( VLOOKUP( APIF_Import!$O47 &amp; APIF_Import!$G$1,Podesavanja!$AA$3:$AD$28, 4, 0)), "", VLOOKUP( APIF_Import!$C47, INDIRECT( "Lookup_" &amp; APIF_Import!$O47), VLOOKUP( APIF_Import!$O47 &amp; APIF_Import!$G$1,Podesavanja!$AA$3:$AD$28, 4, 0), 0))</f>
        <v>102633</v>
      </c>
      <c r="H47" s="230" t="str">
        <f ca="1">IF( ISNA( VLOOKUP( APIF_Import!$O47 &amp; APIF_Import!$H$1,Podesavanja!$AA$3:$AD$28, 4, 0)), "", VLOOKUP( APIF_Import!$C47, INDIRECT( "Lookup_" &amp; APIF_Import!$O47), VLOOKUP( APIF_Import!$O47 &amp; APIF_Import!$H$1,Podesavanja!$AA$3:$AD$28, 4, 0), 0))</f>
        <v/>
      </c>
      <c r="I47" s="230" t="str">
        <f ca="1">IF( ISNA( VLOOKUP( APIF_Import!$O47 &amp; APIF_Import!$I$1,Podesavanja!$AA$3:$AD$28, 4, 0)), "", VLOOKUP( APIF_Import!$C47, INDIRECT( "Lookup_" &amp; APIF_Import!$M47:$O47), VLOOKUP( APIF_Import!$O47 &amp; APIF_Import!$I$1,Podesavanja!$AA$3:$AD$28, 4, 0), 0))</f>
        <v/>
      </c>
      <c r="J47" s="230" t="str">
        <f ca="1">IF( ISNA( VLOOKUP( APIF_Import!$O47 &amp; APIF_Import!$J$1,Podesavanja!$AA$3:$AD$28, 4, 0)), "", VLOOKUP( APIF_Import!$C47, INDIRECT( "Lookup_" &amp; APIF_Import!$M47:$O47), VLOOKUP( APIF_Import!$O47 &amp; APIF_Import!$J$1,Podesavanja!$AA$3:$AD$28, 4, 0), 0))</f>
        <v/>
      </c>
      <c r="K47" s="230" t="str">
        <f ca="1">IF( ISNA( VLOOKUP( APIF_Import!$O47 &amp; APIF_Import!$K$1,Podesavanja!$AA$3:$AD$28, 4, 0)), "", VLOOKUP( APIF_Import!$C47, INDIRECT( "Lookup_" &amp; APIF_Import!$M47:$O47), VLOOKUP( APIF_Import!$O47 &amp; APIF_Import!$K$1,Podesavanja!$AA$3:$AD$28, 4, 0), 0))</f>
        <v/>
      </c>
      <c r="L47" s="230" t="str">
        <f ca="1">IF( ISNA( VLOOKUP( APIF_Import!$O47 &amp; APIF_Import!$L$1,Podesavanja!$AA$3:$AD$28, 4, 0)), "", VLOOKUP( APIF_Import!$C47, INDIRECT( "Lookup_" &amp; APIF_Import!$M47:$O47), VLOOKUP( APIF_Import!$O47 &amp; APIF_Import!$L$1,Podesavanja!$AA$3:$AD$28, 4, 0), 0))</f>
        <v/>
      </c>
      <c r="M47" s="230" t="str">
        <f ca="1">IF( ISNA( VLOOKUP( APIF_Import!$O47 &amp; APIF_Import!$M$1,Podesavanja!$AA$3:$AD$28, 4, 0)), "", VLOOKUP( APIF_Import!$C47, INDIRECT( "Lookup_" &amp; APIF_Import!$M47:$O47), VLOOKUP( APIF_Import!$O47 &amp; APIF_Import!$M$1,Podesavanja!$AA$3:$AD$28, 4, 0), 0))</f>
        <v/>
      </c>
      <c r="N47" s="8">
        <v>46</v>
      </c>
      <c r="O47" s="230" t="s">
        <v>2897</v>
      </c>
    </row>
    <row r="48" spans="2:15">
      <c r="B48" s="44">
        <f ca="1">VLOOKUP( APIF_Import!$O48, Podesavanja!$N$3:$Q$9, 4, 0)</f>
        <v>1</v>
      </c>
      <c r="C48" s="229">
        <f ca="1">VLOOKUP( APIF_Import!$N48, Aop!$A$2:$P$456, 4, 0)</f>
        <v>47</v>
      </c>
      <c r="D48" s="230" t="str">
        <f ca="1">IF( ISNA( VLOOKUP( APIF_Import!$O48 &amp; APIF_Import!$D$1,Podesavanja!$AA$3:$AD$28, 4, 0)), "", SUBSTITUTE( VALUE( VLOOKUP( APIF_Import!$C48, INDIRECT( "Lookup_" &amp; APIF_Import!$O48), VLOOKUP( APIF_Import!$O48 &amp; APIF_Import!$D$1,Podesavanja!$AA$3:$AD$28, 4, 0), 0)), ".", ","))</f>
        <v>187234</v>
      </c>
      <c r="E48" s="230">
        <f ca="1">IF( ISNA( VLOOKUP( APIF_Import!$O48 &amp; APIF_Import!$E$1,Podesavanja!$AA$3:$AD$28, 4, 0)), "", VLOOKUP( APIF_Import!$C48, INDIRECT( "Lookup_" &amp; APIF_Import!$O48), VLOOKUP( APIF_Import!$O48 &amp; APIF_Import!$E$1,Podesavanja!$AA$3:$AD$28, 4, 0), 0))</f>
        <v>0</v>
      </c>
      <c r="F48" s="230">
        <f ca="1">IF( ISNA( VLOOKUP( APIF_Import!$O48 &amp; APIF_Import!$F$1,Podesavanja!$AA$3:$AD$28, 4, 0)), "", VLOOKUP( APIF_Import!$C48, INDIRECT( "Lookup_" &amp; APIF_Import!$O48), VLOOKUP( APIF_Import!$O48 &amp; APIF_Import!$F$1,Podesavanja!$AA$3:$AD$28, 4, 0), 0))</f>
        <v>187234</v>
      </c>
      <c r="G48" s="230">
        <f ca="1">IF( ISNA( VLOOKUP( APIF_Import!$O48 &amp; APIF_Import!$G$1,Podesavanja!$AA$3:$AD$28, 4, 0)), "", VLOOKUP( APIF_Import!$C48, INDIRECT( "Lookup_" &amp; APIF_Import!$O48), VLOOKUP( APIF_Import!$O48 &amp; APIF_Import!$G$1,Podesavanja!$AA$3:$AD$28, 4, 0), 0))</f>
        <v>658717</v>
      </c>
      <c r="H48" s="230" t="str">
        <f ca="1">IF( ISNA( VLOOKUP( APIF_Import!$O48 &amp; APIF_Import!$H$1,Podesavanja!$AA$3:$AD$28, 4, 0)), "", VLOOKUP( APIF_Import!$C48, INDIRECT( "Lookup_" &amp; APIF_Import!$O48), VLOOKUP( APIF_Import!$O48 &amp; APIF_Import!$H$1,Podesavanja!$AA$3:$AD$28, 4, 0), 0))</f>
        <v/>
      </c>
      <c r="I48" s="230" t="str">
        <f ca="1">IF( ISNA( VLOOKUP( APIF_Import!$O48 &amp; APIF_Import!$I$1,Podesavanja!$AA$3:$AD$28, 4, 0)), "", VLOOKUP( APIF_Import!$C48, INDIRECT( "Lookup_" &amp; APIF_Import!$M48:$O48), VLOOKUP( APIF_Import!$O48 &amp; APIF_Import!$I$1,Podesavanja!$AA$3:$AD$28, 4, 0), 0))</f>
        <v/>
      </c>
      <c r="J48" s="230" t="str">
        <f ca="1">IF( ISNA( VLOOKUP( APIF_Import!$O48 &amp; APIF_Import!$J$1,Podesavanja!$AA$3:$AD$28, 4, 0)), "", VLOOKUP( APIF_Import!$C48, INDIRECT( "Lookup_" &amp; APIF_Import!$M48:$O48), VLOOKUP( APIF_Import!$O48 &amp; APIF_Import!$J$1,Podesavanja!$AA$3:$AD$28, 4, 0), 0))</f>
        <v/>
      </c>
      <c r="K48" s="230" t="str">
        <f ca="1">IF( ISNA( VLOOKUP( APIF_Import!$O48 &amp; APIF_Import!$K$1,Podesavanja!$AA$3:$AD$28, 4, 0)), "", VLOOKUP( APIF_Import!$C48, INDIRECT( "Lookup_" &amp; APIF_Import!$M48:$O48), VLOOKUP( APIF_Import!$O48 &amp; APIF_Import!$K$1,Podesavanja!$AA$3:$AD$28, 4, 0), 0))</f>
        <v/>
      </c>
      <c r="L48" s="230" t="str">
        <f ca="1">IF( ISNA( VLOOKUP( APIF_Import!$O48 &amp; APIF_Import!$L$1,Podesavanja!$AA$3:$AD$28, 4, 0)), "", VLOOKUP( APIF_Import!$C48, INDIRECT( "Lookup_" &amp; APIF_Import!$M48:$O48), VLOOKUP( APIF_Import!$O48 &amp; APIF_Import!$L$1,Podesavanja!$AA$3:$AD$28, 4, 0), 0))</f>
        <v/>
      </c>
      <c r="M48" s="230" t="str">
        <f ca="1">IF( ISNA( VLOOKUP( APIF_Import!$O48 &amp; APIF_Import!$M$1,Podesavanja!$AA$3:$AD$28, 4, 0)), "", VLOOKUP( APIF_Import!$C48, INDIRECT( "Lookup_" &amp; APIF_Import!$M48:$O48), VLOOKUP( APIF_Import!$O48 &amp; APIF_Import!$M$1,Podesavanja!$AA$3:$AD$28, 4, 0), 0))</f>
        <v/>
      </c>
      <c r="N48" s="8">
        <v>47</v>
      </c>
      <c r="O48" s="230" t="s">
        <v>2897</v>
      </c>
    </row>
    <row r="49" spans="2:15">
      <c r="B49" s="44">
        <f ca="1">VLOOKUP( APIF_Import!$O49, Podesavanja!$N$3:$Q$9, 4, 0)</f>
        <v>1</v>
      </c>
      <c r="C49" s="229">
        <f ca="1">VLOOKUP( APIF_Import!$N49, Aop!$A$2:$P$456, 4, 0)</f>
        <v>48</v>
      </c>
      <c r="D49" s="230" t="str">
        <f ca="1">IF( ISNA( VLOOKUP( APIF_Import!$O49 &amp; APIF_Import!$D$1,Podesavanja!$AA$3:$AD$28, 4, 0)), "", SUBSTITUTE( VALUE( VLOOKUP( APIF_Import!$C49, INDIRECT( "Lookup_" &amp; APIF_Import!$O49), VLOOKUP( APIF_Import!$O49 &amp; APIF_Import!$D$1,Podesavanja!$AA$3:$AD$28, 4, 0), 0)), ".", ","))</f>
        <v>0</v>
      </c>
      <c r="E49" s="230">
        <f ca="1">IF( ISNA( VLOOKUP( APIF_Import!$O49 &amp; APIF_Import!$E$1,Podesavanja!$AA$3:$AD$28, 4, 0)), "", VLOOKUP( APIF_Import!$C49, INDIRECT( "Lookup_" &amp; APIF_Import!$O49), VLOOKUP( APIF_Import!$O49 &amp; APIF_Import!$E$1,Podesavanja!$AA$3:$AD$28, 4, 0), 0))</f>
        <v>0</v>
      </c>
      <c r="F49" s="230">
        <f ca="1">IF( ISNA( VLOOKUP( APIF_Import!$O49 &amp; APIF_Import!$F$1,Podesavanja!$AA$3:$AD$28, 4, 0)), "", VLOOKUP( APIF_Import!$C49, INDIRECT( "Lookup_" &amp; APIF_Import!$O49), VLOOKUP( APIF_Import!$O49 &amp; APIF_Import!$F$1,Podesavanja!$AA$3:$AD$28, 4, 0), 0))</f>
        <v>0</v>
      </c>
      <c r="G49" s="230">
        <f ca="1">IF( ISNA( VLOOKUP( APIF_Import!$O49 &amp; APIF_Import!$G$1,Podesavanja!$AA$3:$AD$28, 4, 0)), "", VLOOKUP( APIF_Import!$C49, INDIRECT( "Lookup_" &amp; APIF_Import!$O49), VLOOKUP( APIF_Import!$O49 &amp; APIF_Import!$G$1,Podesavanja!$AA$3:$AD$28, 4, 0), 0))</f>
        <v>0</v>
      </c>
      <c r="H49" s="230" t="str">
        <f ca="1">IF( ISNA( VLOOKUP( APIF_Import!$O49 &amp; APIF_Import!$H$1,Podesavanja!$AA$3:$AD$28, 4, 0)), "", VLOOKUP( APIF_Import!$C49, INDIRECT( "Lookup_" &amp; APIF_Import!$O49), VLOOKUP( APIF_Import!$O49 &amp; APIF_Import!$H$1,Podesavanja!$AA$3:$AD$28, 4, 0), 0))</f>
        <v/>
      </c>
      <c r="I49" s="230" t="str">
        <f ca="1">IF( ISNA( VLOOKUP( APIF_Import!$O49 &amp; APIF_Import!$I$1,Podesavanja!$AA$3:$AD$28, 4, 0)), "", VLOOKUP( APIF_Import!$C49, INDIRECT( "Lookup_" &amp; APIF_Import!$M49:$O49), VLOOKUP( APIF_Import!$O49 &amp; APIF_Import!$I$1,Podesavanja!$AA$3:$AD$28, 4, 0), 0))</f>
        <v/>
      </c>
      <c r="J49" s="230" t="str">
        <f ca="1">IF( ISNA( VLOOKUP( APIF_Import!$O49 &amp; APIF_Import!$J$1,Podesavanja!$AA$3:$AD$28, 4, 0)), "", VLOOKUP( APIF_Import!$C49, INDIRECT( "Lookup_" &amp; APIF_Import!$M49:$O49), VLOOKUP( APIF_Import!$O49 &amp; APIF_Import!$J$1,Podesavanja!$AA$3:$AD$28, 4, 0), 0))</f>
        <v/>
      </c>
      <c r="K49" s="230" t="str">
        <f ca="1">IF( ISNA( VLOOKUP( APIF_Import!$O49 &amp; APIF_Import!$K$1,Podesavanja!$AA$3:$AD$28, 4, 0)), "", VLOOKUP( APIF_Import!$C49, INDIRECT( "Lookup_" &amp; APIF_Import!$M49:$O49), VLOOKUP( APIF_Import!$O49 &amp; APIF_Import!$K$1,Podesavanja!$AA$3:$AD$28, 4, 0), 0))</f>
        <v/>
      </c>
      <c r="L49" s="230" t="str">
        <f ca="1">IF( ISNA( VLOOKUP( APIF_Import!$O49 &amp; APIF_Import!$L$1,Podesavanja!$AA$3:$AD$28, 4, 0)), "", VLOOKUP( APIF_Import!$C49, INDIRECT( "Lookup_" &amp; APIF_Import!$M49:$O49), VLOOKUP( APIF_Import!$O49 &amp; APIF_Import!$L$1,Podesavanja!$AA$3:$AD$28, 4, 0), 0))</f>
        <v/>
      </c>
      <c r="M49" s="230" t="str">
        <f ca="1">IF( ISNA( VLOOKUP( APIF_Import!$O49 &amp; APIF_Import!$M$1,Podesavanja!$AA$3:$AD$28, 4, 0)), "", VLOOKUP( APIF_Import!$C49, INDIRECT( "Lookup_" &amp; APIF_Import!$M49:$O49), VLOOKUP( APIF_Import!$O49 &amp; APIF_Import!$M$1,Podesavanja!$AA$3:$AD$28, 4, 0), 0))</f>
        <v/>
      </c>
      <c r="N49" s="8">
        <v>48</v>
      </c>
      <c r="O49" s="230" t="s">
        <v>2897</v>
      </c>
    </row>
    <row r="50" spans="2:15">
      <c r="B50" s="44">
        <f ca="1">VLOOKUP( APIF_Import!$O50, Podesavanja!$N$3:$Q$9, 4, 0)</f>
        <v>1</v>
      </c>
      <c r="C50" s="229">
        <f ca="1">VLOOKUP( APIF_Import!$N50, Aop!$A$2:$P$456, 4, 0)</f>
        <v>49</v>
      </c>
      <c r="D50" s="230" t="str">
        <f ca="1">IF( ISNA( VLOOKUP( APIF_Import!$O50 &amp; APIF_Import!$D$1,Podesavanja!$AA$3:$AD$28, 4, 0)), "", SUBSTITUTE( VALUE( VLOOKUP( APIF_Import!$C50, INDIRECT( "Lookup_" &amp; APIF_Import!$O50), VLOOKUP( APIF_Import!$O50 &amp; APIF_Import!$D$1,Podesavanja!$AA$3:$AD$28, 4, 0), 0)), ".", ","))</f>
        <v>0</v>
      </c>
      <c r="E50" s="230">
        <f ca="1">IF( ISNA( VLOOKUP( APIF_Import!$O50 &amp; APIF_Import!$E$1,Podesavanja!$AA$3:$AD$28, 4, 0)), "", VLOOKUP( APIF_Import!$C50, INDIRECT( "Lookup_" &amp; APIF_Import!$O50), VLOOKUP( APIF_Import!$O50 &amp; APIF_Import!$E$1,Podesavanja!$AA$3:$AD$28, 4, 0), 0))</f>
        <v>0</v>
      </c>
      <c r="F50" s="230">
        <f ca="1">IF( ISNA( VLOOKUP( APIF_Import!$O50 &amp; APIF_Import!$F$1,Podesavanja!$AA$3:$AD$28, 4, 0)), "", VLOOKUP( APIF_Import!$C50, INDIRECT( "Lookup_" &amp; APIF_Import!$O50), VLOOKUP( APIF_Import!$O50 &amp; APIF_Import!$F$1,Podesavanja!$AA$3:$AD$28, 4, 0), 0))</f>
        <v>0</v>
      </c>
      <c r="G50" s="230">
        <f ca="1">IF( ISNA( VLOOKUP( APIF_Import!$O50 &amp; APIF_Import!$G$1,Podesavanja!$AA$3:$AD$28, 4, 0)), "", VLOOKUP( APIF_Import!$C50, INDIRECT( "Lookup_" &amp; APIF_Import!$O50), VLOOKUP( APIF_Import!$O50 &amp; APIF_Import!$G$1,Podesavanja!$AA$3:$AD$28, 4, 0), 0))</f>
        <v>0</v>
      </c>
      <c r="H50" s="230" t="str">
        <f ca="1">IF( ISNA( VLOOKUP( APIF_Import!$O50 &amp; APIF_Import!$H$1,Podesavanja!$AA$3:$AD$28, 4, 0)), "", VLOOKUP( APIF_Import!$C50, INDIRECT( "Lookup_" &amp; APIF_Import!$O50), VLOOKUP( APIF_Import!$O50 &amp; APIF_Import!$H$1,Podesavanja!$AA$3:$AD$28, 4, 0), 0))</f>
        <v/>
      </c>
      <c r="I50" s="230" t="str">
        <f ca="1">IF( ISNA( VLOOKUP( APIF_Import!$O50 &amp; APIF_Import!$I$1,Podesavanja!$AA$3:$AD$28, 4, 0)), "", VLOOKUP( APIF_Import!$C50, INDIRECT( "Lookup_" &amp; APIF_Import!$M50:$O50), VLOOKUP( APIF_Import!$O50 &amp; APIF_Import!$I$1,Podesavanja!$AA$3:$AD$28, 4, 0), 0))</f>
        <v/>
      </c>
      <c r="J50" s="230" t="str">
        <f ca="1">IF( ISNA( VLOOKUP( APIF_Import!$O50 &amp; APIF_Import!$J$1,Podesavanja!$AA$3:$AD$28, 4, 0)), "", VLOOKUP( APIF_Import!$C50, INDIRECT( "Lookup_" &amp; APIF_Import!$M50:$O50), VLOOKUP( APIF_Import!$O50 &amp; APIF_Import!$J$1,Podesavanja!$AA$3:$AD$28, 4, 0), 0))</f>
        <v/>
      </c>
      <c r="K50" s="230" t="str">
        <f ca="1">IF( ISNA( VLOOKUP( APIF_Import!$O50 &amp; APIF_Import!$K$1,Podesavanja!$AA$3:$AD$28, 4, 0)), "", VLOOKUP( APIF_Import!$C50, INDIRECT( "Lookup_" &amp; APIF_Import!$M50:$O50), VLOOKUP( APIF_Import!$O50 &amp; APIF_Import!$K$1,Podesavanja!$AA$3:$AD$28, 4, 0), 0))</f>
        <v/>
      </c>
      <c r="L50" s="230" t="str">
        <f ca="1">IF( ISNA( VLOOKUP( APIF_Import!$O50 &amp; APIF_Import!$L$1,Podesavanja!$AA$3:$AD$28, 4, 0)), "", VLOOKUP( APIF_Import!$C50, INDIRECT( "Lookup_" &amp; APIF_Import!$M50:$O50), VLOOKUP( APIF_Import!$O50 &amp; APIF_Import!$L$1,Podesavanja!$AA$3:$AD$28, 4, 0), 0))</f>
        <v/>
      </c>
      <c r="M50" s="230" t="str">
        <f ca="1">IF( ISNA( VLOOKUP( APIF_Import!$O50 &amp; APIF_Import!$M$1,Podesavanja!$AA$3:$AD$28, 4, 0)), "", VLOOKUP( APIF_Import!$C50, INDIRECT( "Lookup_" &amp; APIF_Import!$M50:$O50), VLOOKUP( APIF_Import!$O50 &amp; APIF_Import!$M$1,Podesavanja!$AA$3:$AD$28, 4, 0), 0))</f>
        <v/>
      </c>
      <c r="N50" s="8">
        <v>49</v>
      </c>
      <c r="O50" s="230" t="s">
        <v>2897</v>
      </c>
    </row>
    <row r="51" spans="2:15">
      <c r="B51" s="44">
        <f ca="1">VLOOKUP( APIF_Import!$O51, Podesavanja!$N$3:$Q$9, 4, 0)</f>
        <v>1</v>
      </c>
      <c r="C51" s="229">
        <f ca="1">VLOOKUP( APIF_Import!$N51, Aop!$A$2:$P$456, 4, 0)</f>
        <v>50</v>
      </c>
      <c r="D51" s="230" t="str">
        <f ca="1">IF( ISNA( VLOOKUP( APIF_Import!$O51 &amp; APIF_Import!$D$1,Podesavanja!$AA$3:$AD$28, 4, 0)), "", SUBSTITUTE( VALUE( VLOOKUP( APIF_Import!$C51, INDIRECT( "Lookup_" &amp; APIF_Import!$O51), VLOOKUP( APIF_Import!$O51 &amp; APIF_Import!$D$1,Podesavanja!$AA$3:$AD$28, 4, 0), 0)), ".", ","))</f>
        <v>8096</v>
      </c>
      <c r="E51" s="230">
        <f ca="1">IF( ISNA( VLOOKUP( APIF_Import!$O51 &amp; APIF_Import!$E$1,Podesavanja!$AA$3:$AD$28, 4, 0)), "", VLOOKUP( APIF_Import!$C51, INDIRECT( "Lookup_" &amp; APIF_Import!$O51), VLOOKUP( APIF_Import!$O51 &amp; APIF_Import!$E$1,Podesavanja!$AA$3:$AD$28, 4, 0), 0))</f>
        <v>0</v>
      </c>
      <c r="F51" s="230">
        <f ca="1">IF( ISNA( VLOOKUP( APIF_Import!$O51 &amp; APIF_Import!$F$1,Podesavanja!$AA$3:$AD$28, 4, 0)), "", VLOOKUP( APIF_Import!$C51, INDIRECT( "Lookup_" &amp; APIF_Import!$O51), VLOOKUP( APIF_Import!$O51 &amp; APIF_Import!$F$1,Podesavanja!$AA$3:$AD$28, 4, 0), 0))</f>
        <v>8096</v>
      </c>
      <c r="G51" s="230">
        <f ca="1">IF( ISNA( VLOOKUP( APIF_Import!$O51 &amp; APIF_Import!$G$1,Podesavanja!$AA$3:$AD$28, 4, 0)), "", VLOOKUP( APIF_Import!$C51, INDIRECT( "Lookup_" &amp; APIF_Import!$O51), VLOOKUP( APIF_Import!$O51 &amp; APIF_Import!$G$1,Podesavanja!$AA$3:$AD$28, 4, 0), 0))</f>
        <v>9484</v>
      </c>
      <c r="H51" s="230" t="str">
        <f ca="1">IF( ISNA( VLOOKUP( APIF_Import!$O51 &amp; APIF_Import!$H$1,Podesavanja!$AA$3:$AD$28, 4, 0)), "", VLOOKUP( APIF_Import!$C51, INDIRECT( "Lookup_" &amp; APIF_Import!$O51), VLOOKUP( APIF_Import!$O51 &amp; APIF_Import!$H$1,Podesavanja!$AA$3:$AD$28, 4, 0), 0))</f>
        <v/>
      </c>
      <c r="I51" s="230" t="str">
        <f ca="1">IF( ISNA( VLOOKUP( APIF_Import!$O51 &amp; APIF_Import!$I$1,Podesavanja!$AA$3:$AD$28, 4, 0)), "", VLOOKUP( APIF_Import!$C51, INDIRECT( "Lookup_" &amp; APIF_Import!$M51:$O51), VLOOKUP( APIF_Import!$O51 &amp; APIF_Import!$I$1,Podesavanja!$AA$3:$AD$28, 4, 0), 0))</f>
        <v/>
      </c>
      <c r="J51" s="230" t="str">
        <f ca="1">IF( ISNA( VLOOKUP( APIF_Import!$O51 &amp; APIF_Import!$J$1,Podesavanja!$AA$3:$AD$28, 4, 0)), "", VLOOKUP( APIF_Import!$C51, INDIRECT( "Lookup_" &amp; APIF_Import!$M51:$O51), VLOOKUP( APIF_Import!$O51 &amp; APIF_Import!$J$1,Podesavanja!$AA$3:$AD$28, 4, 0), 0))</f>
        <v/>
      </c>
      <c r="K51" s="230" t="str">
        <f ca="1">IF( ISNA( VLOOKUP( APIF_Import!$O51 &amp; APIF_Import!$K$1,Podesavanja!$AA$3:$AD$28, 4, 0)), "", VLOOKUP( APIF_Import!$C51, INDIRECT( "Lookup_" &amp; APIF_Import!$M51:$O51), VLOOKUP( APIF_Import!$O51 &amp; APIF_Import!$K$1,Podesavanja!$AA$3:$AD$28, 4, 0), 0))</f>
        <v/>
      </c>
      <c r="L51" s="230" t="str">
        <f ca="1">IF( ISNA( VLOOKUP( APIF_Import!$O51 &amp; APIF_Import!$L$1,Podesavanja!$AA$3:$AD$28, 4, 0)), "", VLOOKUP( APIF_Import!$C51, INDIRECT( "Lookup_" &amp; APIF_Import!$M51:$O51), VLOOKUP( APIF_Import!$O51 &amp; APIF_Import!$L$1,Podesavanja!$AA$3:$AD$28, 4, 0), 0))</f>
        <v/>
      </c>
      <c r="M51" s="230" t="str">
        <f ca="1">IF( ISNA( VLOOKUP( APIF_Import!$O51 &amp; APIF_Import!$M$1,Podesavanja!$AA$3:$AD$28, 4, 0)), "", VLOOKUP( APIF_Import!$C51, INDIRECT( "Lookup_" &amp; APIF_Import!$M51:$O51), VLOOKUP( APIF_Import!$O51 &amp; APIF_Import!$M$1,Podesavanja!$AA$3:$AD$28, 4, 0), 0))</f>
        <v/>
      </c>
      <c r="N51" s="8">
        <v>50</v>
      </c>
      <c r="O51" s="230" t="s">
        <v>2897</v>
      </c>
    </row>
    <row r="52" spans="2:15">
      <c r="B52" s="44">
        <f ca="1">VLOOKUP( APIF_Import!$O52, Podesavanja!$N$3:$Q$9, 4, 0)</f>
        <v>1</v>
      </c>
      <c r="C52" s="229">
        <f ca="1">VLOOKUP( APIF_Import!$N52, Aop!$A$2:$P$456, 4, 0)</f>
        <v>51</v>
      </c>
      <c r="D52" s="230" t="str">
        <f ca="1">IF( ISNA( VLOOKUP( APIF_Import!$O52 &amp; APIF_Import!$D$1,Podesavanja!$AA$3:$AD$28, 4, 0)), "", SUBSTITUTE( VALUE( VLOOKUP( APIF_Import!$C52, INDIRECT( "Lookup_" &amp; APIF_Import!$O52), VLOOKUP( APIF_Import!$O52 &amp; APIF_Import!$D$1,Podesavanja!$AA$3:$AD$28, 4, 0), 0)), ".", ","))</f>
        <v>0</v>
      </c>
      <c r="E52" s="230">
        <f ca="1">IF( ISNA( VLOOKUP( APIF_Import!$O52 &amp; APIF_Import!$E$1,Podesavanja!$AA$3:$AD$28, 4, 0)), "", VLOOKUP( APIF_Import!$C52, INDIRECT( "Lookup_" &amp; APIF_Import!$O52), VLOOKUP( APIF_Import!$O52 &amp; APIF_Import!$E$1,Podesavanja!$AA$3:$AD$28, 4, 0), 0))</f>
        <v>0</v>
      </c>
      <c r="F52" s="230">
        <f ca="1">IF( ISNA( VLOOKUP( APIF_Import!$O52 &amp; APIF_Import!$F$1,Podesavanja!$AA$3:$AD$28, 4, 0)), "", VLOOKUP( APIF_Import!$C52, INDIRECT( "Lookup_" &amp; APIF_Import!$O52), VLOOKUP( APIF_Import!$O52 &amp; APIF_Import!$F$1,Podesavanja!$AA$3:$AD$28, 4, 0), 0))</f>
        <v>0</v>
      </c>
      <c r="G52" s="230">
        <f ca="1">IF( ISNA( VLOOKUP( APIF_Import!$O52 &amp; APIF_Import!$G$1,Podesavanja!$AA$3:$AD$28, 4, 0)), "", VLOOKUP( APIF_Import!$C52, INDIRECT( "Lookup_" &amp; APIF_Import!$O52), VLOOKUP( APIF_Import!$O52 &amp; APIF_Import!$G$1,Podesavanja!$AA$3:$AD$28, 4, 0), 0))</f>
        <v>0</v>
      </c>
      <c r="H52" s="230" t="str">
        <f ca="1">IF( ISNA( VLOOKUP( APIF_Import!$O52 &amp; APIF_Import!$H$1,Podesavanja!$AA$3:$AD$28, 4, 0)), "", VLOOKUP( APIF_Import!$C52, INDIRECT( "Lookup_" &amp; APIF_Import!$O52), VLOOKUP( APIF_Import!$O52 &amp; APIF_Import!$H$1,Podesavanja!$AA$3:$AD$28, 4, 0), 0))</f>
        <v/>
      </c>
      <c r="I52" s="230" t="str">
        <f ca="1">IF( ISNA( VLOOKUP( APIF_Import!$O52 &amp; APIF_Import!$I$1,Podesavanja!$AA$3:$AD$28, 4, 0)), "", VLOOKUP( APIF_Import!$C52, INDIRECT( "Lookup_" &amp; APIF_Import!$M52:$O52), VLOOKUP( APIF_Import!$O52 &amp; APIF_Import!$I$1,Podesavanja!$AA$3:$AD$28, 4, 0), 0))</f>
        <v/>
      </c>
      <c r="J52" s="230" t="str">
        <f ca="1">IF( ISNA( VLOOKUP( APIF_Import!$O52 &amp; APIF_Import!$J$1,Podesavanja!$AA$3:$AD$28, 4, 0)), "", VLOOKUP( APIF_Import!$C52, INDIRECT( "Lookup_" &amp; APIF_Import!$M52:$O52), VLOOKUP( APIF_Import!$O52 &amp; APIF_Import!$J$1,Podesavanja!$AA$3:$AD$28, 4, 0), 0))</f>
        <v/>
      </c>
      <c r="K52" s="230" t="str">
        <f ca="1">IF( ISNA( VLOOKUP( APIF_Import!$O52 &amp; APIF_Import!$K$1,Podesavanja!$AA$3:$AD$28, 4, 0)), "", VLOOKUP( APIF_Import!$C52, INDIRECT( "Lookup_" &amp; APIF_Import!$M52:$O52), VLOOKUP( APIF_Import!$O52 &amp; APIF_Import!$K$1,Podesavanja!$AA$3:$AD$28, 4, 0), 0))</f>
        <v/>
      </c>
      <c r="L52" s="230" t="str">
        <f ca="1">IF( ISNA( VLOOKUP( APIF_Import!$O52 &amp; APIF_Import!$L$1,Podesavanja!$AA$3:$AD$28, 4, 0)), "", VLOOKUP( APIF_Import!$C52, INDIRECT( "Lookup_" &amp; APIF_Import!$M52:$O52), VLOOKUP( APIF_Import!$O52 &amp; APIF_Import!$L$1,Podesavanja!$AA$3:$AD$28, 4, 0), 0))</f>
        <v/>
      </c>
      <c r="M52" s="230" t="str">
        <f ca="1">IF( ISNA( VLOOKUP( APIF_Import!$O52 &amp; APIF_Import!$M$1,Podesavanja!$AA$3:$AD$28, 4, 0)), "", VLOOKUP( APIF_Import!$C52, INDIRECT( "Lookup_" &amp; APIF_Import!$M52:$O52), VLOOKUP( APIF_Import!$O52 &amp; APIF_Import!$M$1,Podesavanja!$AA$3:$AD$28, 4, 0), 0))</f>
        <v/>
      </c>
      <c r="N52" s="8">
        <v>51</v>
      </c>
      <c r="O52" s="230" t="s">
        <v>2897</v>
      </c>
    </row>
    <row r="53" spans="2:15">
      <c r="B53" s="44">
        <f ca="1">VLOOKUP( APIF_Import!$O53, Podesavanja!$N$3:$Q$9, 4, 0)</f>
        <v>1</v>
      </c>
      <c r="C53" s="229">
        <f ca="1">VLOOKUP( APIF_Import!$N53, Aop!$A$2:$P$456, 4, 0)</f>
        <v>52</v>
      </c>
      <c r="D53" s="230" t="str">
        <f ca="1">IF( ISNA( VLOOKUP( APIF_Import!$O53 &amp; APIF_Import!$D$1,Podesavanja!$AA$3:$AD$28, 4, 0)), "", SUBSTITUTE( VALUE( VLOOKUP( APIF_Import!$C53, INDIRECT( "Lookup_" &amp; APIF_Import!$O53), VLOOKUP( APIF_Import!$O53 &amp; APIF_Import!$D$1,Podesavanja!$AA$3:$AD$28, 4, 0), 0)), ".", ","))</f>
        <v>0</v>
      </c>
      <c r="E53" s="230">
        <f ca="1">IF( ISNA( VLOOKUP( APIF_Import!$O53 &amp; APIF_Import!$E$1,Podesavanja!$AA$3:$AD$28, 4, 0)), "", VLOOKUP( APIF_Import!$C53, INDIRECT( "Lookup_" &amp; APIF_Import!$O53), VLOOKUP( APIF_Import!$O53 &amp; APIF_Import!$E$1,Podesavanja!$AA$3:$AD$28, 4, 0), 0))</f>
        <v>0</v>
      </c>
      <c r="F53" s="230">
        <f ca="1">IF( ISNA( VLOOKUP( APIF_Import!$O53 &amp; APIF_Import!$F$1,Podesavanja!$AA$3:$AD$28, 4, 0)), "", VLOOKUP( APIF_Import!$C53, INDIRECT( "Lookup_" &amp; APIF_Import!$O53), VLOOKUP( APIF_Import!$O53 &amp; APIF_Import!$F$1,Podesavanja!$AA$3:$AD$28, 4, 0), 0))</f>
        <v>0</v>
      </c>
      <c r="G53" s="230">
        <f ca="1">IF( ISNA( VLOOKUP( APIF_Import!$O53 &amp; APIF_Import!$G$1,Podesavanja!$AA$3:$AD$28, 4, 0)), "", VLOOKUP( APIF_Import!$C53, INDIRECT( "Lookup_" &amp; APIF_Import!$O53), VLOOKUP( APIF_Import!$O53 &amp; APIF_Import!$G$1,Podesavanja!$AA$3:$AD$28, 4, 0), 0))</f>
        <v>16068500</v>
      </c>
      <c r="H53" s="230" t="str">
        <f ca="1">IF( ISNA( VLOOKUP( APIF_Import!$O53 &amp; APIF_Import!$H$1,Podesavanja!$AA$3:$AD$28, 4, 0)), "", VLOOKUP( APIF_Import!$C53, INDIRECT( "Lookup_" &amp; APIF_Import!$O53), VLOOKUP( APIF_Import!$O53 &amp; APIF_Import!$H$1,Podesavanja!$AA$3:$AD$28, 4, 0), 0))</f>
        <v/>
      </c>
      <c r="I53" s="230" t="str">
        <f ca="1">IF( ISNA( VLOOKUP( APIF_Import!$O53 &amp; APIF_Import!$I$1,Podesavanja!$AA$3:$AD$28, 4, 0)), "", VLOOKUP( APIF_Import!$C53, INDIRECT( "Lookup_" &amp; APIF_Import!$M53:$O53), VLOOKUP( APIF_Import!$O53 &amp; APIF_Import!$I$1,Podesavanja!$AA$3:$AD$28, 4, 0), 0))</f>
        <v/>
      </c>
      <c r="J53" s="230" t="str">
        <f ca="1">IF( ISNA( VLOOKUP( APIF_Import!$O53 &amp; APIF_Import!$J$1,Podesavanja!$AA$3:$AD$28, 4, 0)), "", VLOOKUP( APIF_Import!$C53, INDIRECT( "Lookup_" &amp; APIF_Import!$M53:$O53), VLOOKUP( APIF_Import!$O53 &amp; APIF_Import!$J$1,Podesavanja!$AA$3:$AD$28, 4, 0), 0))</f>
        <v/>
      </c>
      <c r="K53" s="230" t="str">
        <f ca="1">IF( ISNA( VLOOKUP( APIF_Import!$O53 &amp; APIF_Import!$K$1,Podesavanja!$AA$3:$AD$28, 4, 0)), "", VLOOKUP( APIF_Import!$C53, INDIRECT( "Lookup_" &amp; APIF_Import!$M53:$O53), VLOOKUP( APIF_Import!$O53 &amp; APIF_Import!$K$1,Podesavanja!$AA$3:$AD$28, 4, 0), 0))</f>
        <v/>
      </c>
      <c r="L53" s="230" t="str">
        <f ca="1">IF( ISNA( VLOOKUP( APIF_Import!$O53 &amp; APIF_Import!$L$1,Podesavanja!$AA$3:$AD$28, 4, 0)), "", VLOOKUP( APIF_Import!$C53, INDIRECT( "Lookup_" &amp; APIF_Import!$M53:$O53), VLOOKUP( APIF_Import!$O53 &amp; APIF_Import!$L$1,Podesavanja!$AA$3:$AD$28, 4, 0), 0))</f>
        <v/>
      </c>
      <c r="M53" s="230" t="str">
        <f ca="1">IF( ISNA( VLOOKUP( APIF_Import!$O53 &amp; APIF_Import!$M$1,Podesavanja!$AA$3:$AD$28, 4, 0)), "", VLOOKUP( APIF_Import!$C53, INDIRECT( "Lookup_" &amp; APIF_Import!$M53:$O53), VLOOKUP( APIF_Import!$O53 &amp; APIF_Import!$M$1,Podesavanja!$AA$3:$AD$28, 4, 0), 0))</f>
        <v/>
      </c>
      <c r="N53" s="8">
        <v>52</v>
      </c>
      <c r="O53" s="230" t="s">
        <v>2897</v>
      </c>
    </row>
    <row r="54" spans="2:15">
      <c r="B54" s="44">
        <f ca="1">VLOOKUP( APIF_Import!$O54, Podesavanja!$N$3:$Q$9, 4, 0)</f>
        <v>1</v>
      </c>
      <c r="C54" s="229">
        <f ca="1">VLOOKUP( APIF_Import!$N54, Aop!$A$2:$P$456, 4, 0)</f>
        <v>53</v>
      </c>
      <c r="D54" s="230" t="str">
        <f ca="1">IF( ISNA( VLOOKUP( APIF_Import!$O54 &amp; APIF_Import!$D$1,Podesavanja!$AA$3:$AD$28, 4, 0)), "", SUBSTITUTE( VALUE( VLOOKUP( APIF_Import!$C54, INDIRECT( "Lookup_" &amp; APIF_Import!$O54), VLOOKUP( APIF_Import!$O54 &amp; APIF_Import!$D$1,Podesavanja!$AA$3:$AD$28, 4, 0), 0)), ".", ","))</f>
        <v>0</v>
      </c>
      <c r="E54" s="230">
        <f ca="1">IF( ISNA( VLOOKUP( APIF_Import!$O54 &amp; APIF_Import!$E$1,Podesavanja!$AA$3:$AD$28, 4, 0)), "", VLOOKUP( APIF_Import!$C54, INDIRECT( "Lookup_" &amp; APIF_Import!$O54), VLOOKUP( APIF_Import!$O54 &amp; APIF_Import!$E$1,Podesavanja!$AA$3:$AD$28, 4, 0), 0))</f>
        <v>0</v>
      </c>
      <c r="F54" s="230">
        <f ca="1">IF( ISNA( VLOOKUP( APIF_Import!$O54 &amp; APIF_Import!$F$1,Podesavanja!$AA$3:$AD$28, 4, 0)), "", VLOOKUP( APIF_Import!$C54, INDIRECT( "Lookup_" &amp; APIF_Import!$O54), VLOOKUP( APIF_Import!$O54 &amp; APIF_Import!$F$1,Podesavanja!$AA$3:$AD$28, 4, 0), 0))</f>
        <v>0</v>
      </c>
      <c r="G54" s="230">
        <f ca="1">IF( ISNA( VLOOKUP( APIF_Import!$O54 &amp; APIF_Import!$G$1,Podesavanja!$AA$3:$AD$28, 4, 0)), "", VLOOKUP( APIF_Import!$C54, INDIRECT( "Lookup_" &amp; APIF_Import!$O54), VLOOKUP( APIF_Import!$O54 &amp; APIF_Import!$G$1,Podesavanja!$AA$3:$AD$28, 4, 0), 0))</f>
        <v>16068500</v>
      </c>
      <c r="H54" s="230" t="str">
        <f ca="1">IF( ISNA( VLOOKUP( APIF_Import!$O54 &amp; APIF_Import!$H$1,Podesavanja!$AA$3:$AD$28, 4, 0)), "", VLOOKUP( APIF_Import!$C54, INDIRECT( "Lookup_" &amp; APIF_Import!$O54), VLOOKUP( APIF_Import!$O54 &amp; APIF_Import!$H$1,Podesavanja!$AA$3:$AD$28, 4, 0), 0))</f>
        <v/>
      </c>
      <c r="I54" s="230" t="str">
        <f ca="1">IF( ISNA( VLOOKUP( APIF_Import!$O54 &amp; APIF_Import!$I$1,Podesavanja!$AA$3:$AD$28, 4, 0)), "", VLOOKUP( APIF_Import!$C54, INDIRECT( "Lookup_" &amp; APIF_Import!$M54:$O54), VLOOKUP( APIF_Import!$O54 &amp; APIF_Import!$I$1,Podesavanja!$AA$3:$AD$28, 4, 0), 0))</f>
        <v/>
      </c>
      <c r="J54" s="230" t="str">
        <f ca="1">IF( ISNA( VLOOKUP( APIF_Import!$O54 &amp; APIF_Import!$J$1,Podesavanja!$AA$3:$AD$28, 4, 0)), "", VLOOKUP( APIF_Import!$C54, INDIRECT( "Lookup_" &amp; APIF_Import!$M54:$O54), VLOOKUP( APIF_Import!$O54 &amp; APIF_Import!$J$1,Podesavanja!$AA$3:$AD$28, 4, 0), 0))</f>
        <v/>
      </c>
      <c r="K54" s="230" t="str">
        <f ca="1">IF( ISNA( VLOOKUP( APIF_Import!$O54 &amp; APIF_Import!$K$1,Podesavanja!$AA$3:$AD$28, 4, 0)), "", VLOOKUP( APIF_Import!$C54, INDIRECT( "Lookup_" &amp; APIF_Import!$M54:$O54), VLOOKUP( APIF_Import!$O54 &amp; APIF_Import!$K$1,Podesavanja!$AA$3:$AD$28, 4, 0), 0))</f>
        <v/>
      </c>
      <c r="L54" s="230" t="str">
        <f ca="1">IF( ISNA( VLOOKUP( APIF_Import!$O54 &amp; APIF_Import!$L$1,Podesavanja!$AA$3:$AD$28, 4, 0)), "", VLOOKUP( APIF_Import!$C54, INDIRECT( "Lookup_" &amp; APIF_Import!$M54:$O54), VLOOKUP( APIF_Import!$O54 &amp; APIF_Import!$L$1,Podesavanja!$AA$3:$AD$28, 4, 0), 0))</f>
        <v/>
      </c>
      <c r="M54" s="230" t="str">
        <f ca="1">IF( ISNA( VLOOKUP( APIF_Import!$O54 &amp; APIF_Import!$M$1,Podesavanja!$AA$3:$AD$28, 4, 0)), "", VLOOKUP( APIF_Import!$C54, INDIRECT( "Lookup_" &amp; APIF_Import!$M54:$O54), VLOOKUP( APIF_Import!$O54 &amp; APIF_Import!$M$1,Podesavanja!$AA$3:$AD$28, 4, 0), 0))</f>
        <v/>
      </c>
      <c r="N54" s="8">
        <v>53</v>
      </c>
      <c r="O54" s="230" t="s">
        <v>2897</v>
      </c>
    </row>
    <row r="55" spans="2:15">
      <c r="B55" s="44">
        <f ca="1">VLOOKUP( APIF_Import!$O55, Podesavanja!$N$3:$Q$9, 4, 0)</f>
        <v>1</v>
      </c>
      <c r="C55" s="229">
        <f ca="1">VLOOKUP( APIF_Import!$N55, Aop!$A$2:$P$456, 4, 0)</f>
        <v>54</v>
      </c>
      <c r="D55" s="230" t="str">
        <f ca="1">IF( ISNA( VLOOKUP( APIF_Import!$O55 &amp; APIF_Import!$D$1,Podesavanja!$AA$3:$AD$28, 4, 0)), "", SUBSTITUTE( VALUE( VLOOKUP( APIF_Import!$C55, INDIRECT( "Lookup_" &amp; APIF_Import!$O55), VLOOKUP( APIF_Import!$O55 &amp; APIF_Import!$D$1,Podesavanja!$AA$3:$AD$28, 4, 0), 0)), ".", ","))</f>
        <v>0</v>
      </c>
      <c r="E55" s="230">
        <f ca="1">IF( ISNA( VLOOKUP( APIF_Import!$O55 &amp; APIF_Import!$E$1,Podesavanja!$AA$3:$AD$28, 4, 0)), "", VLOOKUP( APIF_Import!$C55, INDIRECT( "Lookup_" &amp; APIF_Import!$O55), VLOOKUP( APIF_Import!$O55 &amp; APIF_Import!$E$1,Podesavanja!$AA$3:$AD$28, 4, 0), 0))</f>
        <v>0</v>
      </c>
      <c r="F55" s="230">
        <f ca="1">IF( ISNA( VLOOKUP( APIF_Import!$O55 &amp; APIF_Import!$F$1,Podesavanja!$AA$3:$AD$28, 4, 0)), "", VLOOKUP( APIF_Import!$C55, INDIRECT( "Lookup_" &amp; APIF_Import!$O55), VLOOKUP( APIF_Import!$O55 &amp; APIF_Import!$F$1,Podesavanja!$AA$3:$AD$28, 4, 0), 0))</f>
        <v>0</v>
      </c>
      <c r="G55" s="230">
        <f ca="1">IF( ISNA( VLOOKUP( APIF_Import!$O55 &amp; APIF_Import!$G$1,Podesavanja!$AA$3:$AD$28, 4, 0)), "", VLOOKUP( APIF_Import!$C55, INDIRECT( "Lookup_" &amp; APIF_Import!$O55), VLOOKUP( APIF_Import!$O55 &amp; APIF_Import!$G$1,Podesavanja!$AA$3:$AD$28, 4, 0), 0))</f>
        <v>0</v>
      </c>
      <c r="H55" s="230" t="str">
        <f ca="1">IF( ISNA( VLOOKUP( APIF_Import!$O55 &amp; APIF_Import!$H$1,Podesavanja!$AA$3:$AD$28, 4, 0)), "", VLOOKUP( APIF_Import!$C55, INDIRECT( "Lookup_" &amp; APIF_Import!$O55), VLOOKUP( APIF_Import!$O55 &amp; APIF_Import!$H$1,Podesavanja!$AA$3:$AD$28, 4, 0), 0))</f>
        <v/>
      </c>
      <c r="I55" s="230" t="str">
        <f ca="1">IF( ISNA( VLOOKUP( APIF_Import!$O55 &amp; APIF_Import!$I$1,Podesavanja!$AA$3:$AD$28, 4, 0)), "", VLOOKUP( APIF_Import!$C55, INDIRECT( "Lookup_" &amp; APIF_Import!$M55:$O55), VLOOKUP( APIF_Import!$O55 &amp; APIF_Import!$I$1,Podesavanja!$AA$3:$AD$28, 4, 0), 0))</f>
        <v/>
      </c>
      <c r="J55" s="230" t="str">
        <f ca="1">IF( ISNA( VLOOKUP( APIF_Import!$O55 &amp; APIF_Import!$J$1,Podesavanja!$AA$3:$AD$28, 4, 0)), "", VLOOKUP( APIF_Import!$C55, INDIRECT( "Lookup_" &amp; APIF_Import!$M55:$O55), VLOOKUP( APIF_Import!$O55 &amp; APIF_Import!$J$1,Podesavanja!$AA$3:$AD$28, 4, 0), 0))</f>
        <v/>
      </c>
      <c r="K55" s="230" t="str">
        <f ca="1">IF( ISNA( VLOOKUP( APIF_Import!$O55 &amp; APIF_Import!$K$1,Podesavanja!$AA$3:$AD$28, 4, 0)), "", VLOOKUP( APIF_Import!$C55, INDIRECT( "Lookup_" &amp; APIF_Import!$M55:$O55), VLOOKUP( APIF_Import!$O55 &amp; APIF_Import!$K$1,Podesavanja!$AA$3:$AD$28, 4, 0), 0))</f>
        <v/>
      </c>
      <c r="L55" s="230" t="str">
        <f ca="1">IF( ISNA( VLOOKUP( APIF_Import!$O55 &amp; APIF_Import!$L$1,Podesavanja!$AA$3:$AD$28, 4, 0)), "", VLOOKUP( APIF_Import!$C55, INDIRECT( "Lookup_" &amp; APIF_Import!$M55:$O55), VLOOKUP( APIF_Import!$O55 &amp; APIF_Import!$L$1,Podesavanja!$AA$3:$AD$28, 4, 0), 0))</f>
        <v/>
      </c>
      <c r="M55" s="230" t="str">
        <f ca="1">IF( ISNA( VLOOKUP( APIF_Import!$O55 &amp; APIF_Import!$M$1,Podesavanja!$AA$3:$AD$28, 4, 0)), "", VLOOKUP( APIF_Import!$C55, INDIRECT( "Lookup_" &amp; APIF_Import!$M55:$O55), VLOOKUP( APIF_Import!$O55 &amp; APIF_Import!$M$1,Podesavanja!$AA$3:$AD$28, 4, 0), 0))</f>
        <v/>
      </c>
      <c r="N55" s="8">
        <v>54</v>
      </c>
      <c r="O55" s="230" t="s">
        <v>2897</v>
      </c>
    </row>
    <row r="56" spans="2:15">
      <c r="B56" s="44">
        <f ca="1">VLOOKUP( APIF_Import!$O56, Podesavanja!$N$3:$Q$9, 4, 0)</f>
        <v>1</v>
      </c>
      <c r="C56" s="229">
        <f ca="1">VLOOKUP( APIF_Import!$N56, Aop!$A$2:$P$456, 4, 0)</f>
        <v>55</v>
      </c>
      <c r="D56" s="230" t="str">
        <f ca="1">IF( ISNA( VLOOKUP( APIF_Import!$O56 &amp; APIF_Import!$D$1,Podesavanja!$AA$3:$AD$28, 4, 0)), "", SUBSTITUTE( VALUE( VLOOKUP( APIF_Import!$C56, INDIRECT( "Lookup_" &amp; APIF_Import!$O56), VLOOKUP( APIF_Import!$O56 &amp; APIF_Import!$D$1,Podesavanja!$AA$3:$AD$28, 4, 0), 0)), ".", ","))</f>
        <v>0</v>
      </c>
      <c r="E56" s="230">
        <f ca="1">IF( ISNA( VLOOKUP( APIF_Import!$O56 &amp; APIF_Import!$E$1,Podesavanja!$AA$3:$AD$28, 4, 0)), "", VLOOKUP( APIF_Import!$C56, INDIRECT( "Lookup_" &amp; APIF_Import!$O56), VLOOKUP( APIF_Import!$O56 &amp; APIF_Import!$E$1,Podesavanja!$AA$3:$AD$28, 4, 0), 0))</f>
        <v>0</v>
      </c>
      <c r="F56" s="230">
        <f ca="1">IF( ISNA( VLOOKUP( APIF_Import!$O56 &amp; APIF_Import!$F$1,Podesavanja!$AA$3:$AD$28, 4, 0)), "", VLOOKUP( APIF_Import!$C56, INDIRECT( "Lookup_" &amp; APIF_Import!$O56), VLOOKUP( APIF_Import!$O56 &amp; APIF_Import!$F$1,Podesavanja!$AA$3:$AD$28, 4, 0), 0))</f>
        <v>0</v>
      </c>
      <c r="G56" s="230">
        <f ca="1">IF( ISNA( VLOOKUP( APIF_Import!$O56 &amp; APIF_Import!$G$1,Podesavanja!$AA$3:$AD$28, 4, 0)), "", VLOOKUP( APIF_Import!$C56, INDIRECT( "Lookup_" &amp; APIF_Import!$O56), VLOOKUP( APIF_Import!$O56 &amp; APIF_Import!$G$1,Podesavanja!$AA$3:$AD$28, 4, 0), 0))</f>
        <v>1068500</v>
      </c>
      <c r="H56" s="230" t="str">
        <f ca="1">IF( ISNA( VLOOKUP( APIF_Import!$O56 &amp; APIF_Import!$H$1,Podesavanja!$AA$3:$AD$28, 4, 0)), "", VLOOKUP( APIF_Import!$C56, INDIRECT( "Lookup_" &amp; APIF_Import!$O56), VLOOKUP( APIF_Import!$O56 &amp; APIF_Import!$H$1,Podesavanja!$AA$3:$AD$28, 4, 0), 0))</f>
        <v/>
      </c>
      <c r="I56" s="230" t="str">
        <f ca="1">IF( ISNA( VLOOKUP( APIF_Import!$O56 &amp; APIF_Import!$I$1,Podesavanja!$AA$3:$AD$28, 4, 0)), "", VLOOKUP( APIF_Import!$C56, INDIRECT( "Lookup_" &amp; APIF_Import!$M56:$O56), VLOOKUP( APIF_Import!$O56 &amp; APIF_Import!$I$1,Podesavanja!$AA$3:$AD$28, 4, 0), 0))</f>
        <v/>
      </c>
      <c r="J56" s="230" t="str">
        <f ca="1">IF( ISNA( VLOOKUP( APIF_Import!$O56 &amp; APIF_Import!$J$1,Podesavanja!$AA$3:$AD$28, 4, 0)), "", VLOOKUP( APIF_Import!$C56, INDIRECT( "Lookup_" &amp; APIF_Import!$M56:$O56), VLOOKUP( APIF_Import!$O56 &amp; APIF_Import!$J$1,Podesavanja!$AA$3:$AD$28, 4, 0), 0))</f>
        <v/>
      </c>
      <c r="K56" s="230" t="str">
        <f ca="1">IF( ISNA( VLOOKUP( APIF_Import!$O56 &amp; APIF_Import!$K$1,Podesavanja!$AA$3:$AD$28, 4, 0)), "", VLOOKUP( APIF_Import!$C56, INDIRECT( "Lookup_" &amp; APIF_Import!$M56:$O56), VLOOKUP( APIF_Import!$O56 &amp; APIF_Import!$K$1,Podesavanja!$AA$3:$AD$28, 4, 0), 0))</f>
        <v/>
      </c>
      <c r="L56" s="230" t="str">
        <f ca="1">IF( ISNA( VLOOKUP( APIF_Import!$O56 &amp; APIF_Import!$L$1,Podesavanja!$AA$3:$AD$28, 4, 0)), "", VLOOKUP( APIF_Import!$C56, INDIRECT( "Lookup_" &amp; APIF_Import!$M56:$O56), VLOOKUP( APIF_Import!$O56 &amp; APIF_Import!$L$1,Podesavanja!$AA$3:$AD$28, 4, 0), 0))</f>
        <v/>
      </c>
      <c r="M56" s="230" t="str">
        <f ca="1">IF( ISNA( VLOOKUP( APIF_Import!$O56 &amp; APIF_Import!$M$1,Podesavanja!$AA$3:$AD$28, 4, 0)), "", VLOOKUP( APIF_Import!$C56, INDIRECT( "Lookup_" &amp; APIF_Import!$M56:$O56), VLOOKUP( APIF_Import!$O56 &amp; APIF_Import!$M$1,Podesavanja!$AA$3:$AD$28, 4, 0), 0))</f>
        <v/>
      </c>
      <c r="N56" s="8">
        <v>55</v>
      </c>
      <c r="O56" s="230" t="s">
        <v>2897</v>
      </c>
    </row>
    <row r="57" spans="2:15">
      <c r="B57" s="44">
        <f ca="1">VLOOKUP( APIF_Import!$O57, Podesavanja!$N$3:$Q$9, 4, 0)</f>
        <v>1</v>
      </c>
      <c r="C57" s="229">
        <f ca="1">VLOOKUP( APIF_Import!$N57, Aop!$A$2:$P$456, 4, 0)</f>
        <v>56</v>
      </c>
      <c r="D57" s="230" t="str">
        <f ca="1">IF( ISNA( VLOOKUP( APIF_Import!$O57 &amp; APIF_Import!$D$1,Podesavanja!$AA$3:$AD$28, 4, 0)), "", SUBSTITUTE( VALUE( VLOOKUP( APIF_Import!$C57, INDIRECT( "Lookup_" &amp; APIF_Import!$O57), VLOOKUP( APIF_Import!$O57 &amp; APIF_Import!$D$1,Podesavanja!$AA$3:$AD$28, 4, 0), 0)), ".", ","))</f>
        <v>0</v>
      </c>
      <c r="E57" s="230">
        <f ca="1">IF( ISNA( VLOOKUP( APIF_Import!$O57 &amp; APIF_Import!$E$1,Podesavanja!$AA$3:$AD$28, 4, 0)), "", VLOOKUP( APIF_Import!$C57, INDIRECT( "Lookup_" &amp; APIF_Import!$O57), VLOOKUP( APIF_Import!$O57 &amp; APIF_Import!$E$1,Podesavanja!$AA$3:$AD$28, 4, 0), 0))</f>
        <v>0</v>
      </c>
      <c r="F57" s="230">
        <f ca="1">IF( ISNA( VLOOKUP( APIF_Import!$O57 &amp; APIF_Import!$F$1,Podesavanja!$AA$3:$AD$28, 4, 0)), "", VLOOKUP( APIF_Import!$C57, INDIRECT( "Lookup_" &amp; APIF_Import!$O57), VLOOKUP( APIF_Import!$O57 &amp; APIF_Import!$F$1,Podesavanja!$AA$3:$AD$28, 4, 0), 0))</f>
        <v>0</v>
      </c>
      <c r="G57" s="230">
        <f ca="1">IF( ISNA( VLOOKUP( APIF_Import!$O57 &amp; APIF_Import!$G$1,Podesavanja!$AA$3:$AD$28, 4, 0)), "", VLOOKUP( APIF_Import!$C57, INDIRECT( "Lookup_" &amp; APIF_Import!$O57), VLOOKUP( APIF_Import!$O57 &amp; APIF_Import!$G$1,Podesavanja!$AA$3:$AD$28, 4, 0), 0))</f>
        <v>0</v>
      </c>
      <c r="H57" s="230" t="str">
        <f ca="1">IF( ISNA( VLOOKUP( APIF_Import!$O57 &amp; APIF_Import!$H$1,Podesavanja!$AA$3:$AD$28, 4, 0)), "", VLOOKUP( APIF_Import!$C57, INDIRECT( "Lookup_" &amp; APIF_Import!$O57), VLOOKUP( APIF_Import!$O57 &amp; APIF_Import!$H$1,Podesavanja!$AA$3:$AD$28, 4, 0), 0))</f>
        <v/>
      </c>
      <c r="I57" s="230" t="str">
        <f ca="1">IF( ISNA( VLOOKUP( APIF_Import!$O57 &amp; APIF_Import!$I$1,Podesavanja!$AA$3:$AD$28, 4, 0)), "", VLOOKUP( APIF_Import!$C57, INDIRECT( "Lookup_" &amp; APIF_Import!$M57:$O57), VLOOKUP( APIF_Import!$O57 &amp; APIF_Import!$I$1,Podesavanja!$AA$3:$AD$28, 4, 0), 0))</f>
        <v/>
      </c>
      <c r="J57" s="230" t="str">
        <f ca="1">IF( ISNA( VLOOKUP( APIF_Import!$O57 &amp; APIF_Import!$J$1,Podesavanja!$AA$3:$AD$28, 4, 0)), "", VLOOKUP( APIF_Import!$C57, INDIRECT( "Lookup_" &amp; APIF_Import!$M57:$O57), VLOOKUP( APIF_Import!$O57 &amp; APIF_Import!$J$1,Podesavanja!$AA$3:$AD$28, 4, 0), 0))</f>
        <v/>
      </c>
      <c r="K57" s="230" t="str">
        <f ca="1">IF( ISNA( VLOOKUP( APIF_Import!$O57 &amp; APIF_Import!$K$1,Podesavanja!$AA$3:$AD$28, 4, 0)), "", VLOOKUP( APIF_Import!$C57, INDIRECT( "Lookup_" &amp; APIF_Import!$M57:$O57), VLOOKUP( APIF_Import!$O57 &amp; APIF_Import!$K$1,Podesavanja!$AA$3:$AD$28, 4, 0), 0))</f>
        <v/>
      </c>
      <c r="L57" s="230" t="str">
        <f ca="1">IF( ISNA( VLOOKUP( APIF_Import!$O57 &amp; APIF_Import!$L$1,Podesavanja!$AA$3:$AD$28, 4, 0)), "", VLOOKUP( APIF_Import!$C57, INDIRECT( "Lookup_" &amp; APIF_Import!$M57:$O57), VLOOKUP( APIF_Import!$O57 &amp; APIF_Import!$L$1,Podesavanja!$AA$3:$AD$28, 4, 0), 0))</f>
        <v/>
      </c>
      <c r="M57" s="230" t="str">
        <f ca="1">IF( ISNA( VLOOKUP( APIF_Import!$O57 &amp; APIF_Import!$M$1,Podesavanja!$AA$3:$AD$28, 4, 0)), "", VLOOKUP( APIF_Import!$C57, INDIRECT( "Lookup_" &amp; APIF_Import!$M57:$O57), VLOOKUP( APIF_Import!$O57 &amp; APIF_Import!$M$1,Podesavanja!$AA$3:$AD$28, 4, 0), 0))</f>
        <v/>
      </c>
      <c r="N57" s="8">
        <v>56</v>
      </c>
      <c r="O57" s="230" t="s">
        <v>2897</v>
      </c>
    </row>
    <row r="58" spans="2:15">
      <c r="B58" s="44">
        <f ca="1">VLOOKUP( APIF_Import!$O58, Podesavanja!$N$3:$Q$9, 4, 0)</f>
        <v>1</v>
      </c>
      <c r="C58" s="229">
        <f ca="1">VLOOKUP( APIF_Import!$N58, Aop!$A$2:$P$456, 4, 0)</f>
        <v>57</v>
      </c>
      <c r="D58" s="230" t="str">
        <f ca="1">IF( ISNA( VLOOKUP( APIF_Import!$O58 &amp; APIF_Import!$D$1,Podesavanja!$AA$3:$AD$28, 4, 0)), "", SUBSTITUTE( VALUE( VLOOKUP( APIF_Import!$C58, INDIRECT( "Lookup_" &amp; APIF_Import!$O58), VLOOKUP( APIF_Import!$O58 &amp; APIF_Import!$D$1,Podesavanja!$AA$3:$AD$28, 4, 0), 0)), ".", ","))</f>
        <v>0</v>
      </c>
      <c r="E58" s="230">
        <f ca="1">IF( ISNA( VLOOKUP( APIF_Import!$O58 &amp; APIF_Import!$E$1,Podesavanja!$AA$3:$AD$28, 4, 0)), "", VLOOKUP( APIF_Import!$C58, INDIRECT( "Lookup_" &amp; APIF_Import!$O58), VLOOKUP( APIF_Import!$O58 &amp; APIF_Import!$E$1,Podesavanja!$AA$3:$AD$28, 4, 0), 0))</f>
        <v>0</v>
      </c>
      <c r="F58" s="230">
        <f ca="1">IF( ISNA( VLOOKUP( APIF_Import!$O58 &amp; APIF_Import!$F$1,Podesavanja!$AA$3:$AD$28, 4, 0)), "", VLOOKUP( APIF_Import!$C58, INDIRECT( "Lookup_" &amp; APIF_Import!$O58), VLOOKUP( APIF_Import!$O58 &amp; APIF_Import!$F$1,Podesavanja!$AA$3:$AD$28, 4, 0), 0))</f>
        <v>0</v>
      </c>
      <c r="G58" s="230">
        <f ca="1">IF( ISNA( VLOOKUP( APIF_Import!$O58 &amp; APIF_Import!$G$1,Podesavanja!$AA$3:$AD$28, 4, 0)), "", VLOOKUP( APIF_Import!$C58, INDIRECT( "Lookup_" &amp; APIF_Import!$O58), VLOOKUP( APIF_Import!$O58 &amp; APIF_Import!$G$1,Podesavanja!$AA$3:$AD$28, 4, 0), 0))</f>
        <v>15000000</v>
      </c>
      <c r="H58" s="230" t="str">
        <f ca="1">IF( ISNA( VLOOKUP( APIF_Import!$O58 &amp; APIF_Import!$H$1,Podesavanja!$AA$3:$AD$28, 4, 0)), "", VLOOKUP( APIF_Import!$C58, INDIRECT( "Lookup_" &amp; APIF_Import!$O58), VLOOKUP( APIF_Import!$O58 &amp; APIF_Import!$H$1,Podesavanja!$AA$3:$AD$28, 4, 0), 0))</f>
        <v/>
      </c>
      <c r="I58" s="230" t="str">
        <f ca="1">IF( ISNA( VLOOKUP( APIF_Import!$O58 &amp; APIF_Import!$I$1,Podesavanja!$AA$3:$AD$28, 4, 0)), "", VLOOKUP( APIF_Import!$C58, INDIRECT( "Lookup_" &amp; APIF_Import!$M58:$O58), VLOOKUP( APIF_Import!$O58 &amp; APIF_Import!$I$1,Podesavanja!$AA$3:$AD$28, 4, 0), 0))</f>
        <v/>
      </c>
      <c r="J58" s="230" t="str">
        <f ca="1">IF( ISNA( VLOOKUP( APIF_Import!$O58 &amp; APIF_Import!$J$1,Podesavanja!$AA$3:$AD$28, 4, 0)), "", VLOOKUP( APIF_Import!$C58, INDIRECT( "Lookup_" &amp; APIF_Import!$M58:$O58), VLOOKUP( APIF_Import!$O58 &amp; APIF_Import!$J$1,Podesavanja!$AA$3:$AD$28, 4, 0), 0))</f>
        <v/>
      </c>
      <c r="K58" s="230" t="str">
        <f ca="1">IF( ISNA( VLOOKUP( APIF_Import!$O58 &amp; APIF_Import!$K$1,Podesavanja!$AA$3:$AD$28, 4, 0)), "", VLOOKUP( APIF_Import!$C58, INDIRECT( "Lookup_" &amp; APIF_Import!$M58:$O58), VLOOKUP( APIF_Import!$O58 &amp; APIF_Import!$K$1,Podesavanja!$AA$3:$AD$28, 4, 0), 0))</f>
        <v/>
      </c>
      <c r="L58" s="230" t="str">
        <f ca="1">IF( ISNA( VLOOKUP( APIF_Import!$O58 &amp; APIF_Import!$L$1,Podesavanja!$AA$3:$AD$28, 4, 0)), "", VLOOKUP( APIF_Import!$C58, INDIRECT( "Lookup_" &amp; APIF_Import!$M58:$O58), VLOOKUP( APIF_Import!$O58 &amp; APIF_Import!$L$1,Podesavanja!$AA$3:$AD$28, 4, 0), 0))</f>
        <v/>
      </c>
      <c r="M58" s="230" t="str">
        <f ca="1">IF( ISNA( VLOOKUP( APIF_Import!$O58 &amp; APIF_Import!$M$1,Podesavanja!$AA$3:$AD$28, 4, 0)), "", VLOOKUP( APIF_Import!$C58, INDIRECT( "Lookup_" &amp; APIF_Import!$M58:$O58), VLOOKUP( APIF_Import!$O58 &amp; APIF_Import!$M$1,Podesavanja!$AA$3:$AD$28, 4, 0), 0))</f>
        <v/>
      </c>
      <c r="N58" s="8">
        <v>57</v>
      </c>
      <c r="O58" s="230" t="s">
        <v>2897</v>
      </c>
    </row>
    <row r="59" spans="2:15">
      <c r="B59" s="44">
        <f ca="1">VLOOKUP( APIF_Import!$O59, Podesavanja!$N$3:$Q$9, 4, 0)</f>
        <v>1</v>
      </c>
      <c r="C59" s="229">
        <f ca="1">VLOOKUP( APIF_Import!$N59, Aop!$A$2:$P$456, 4, 0)</f>
        <v>58</v>
      </c>
      <c r="D59" s="230" t="str">
        <f ca="1">IF( ISNA( VLOOKUP( APIF_Import!$O59 &amp; APIF_Import!$D$1,Podesavanja!$AA$3:$AD$28, 4, 0)), "", SUBSTITUTE( VALUE( VLOOKUP( APIF_Import!$C59, INDIRECT( "Lookup_" &amp; APIF_Import!$O59), VLOOKUP( APIF_Import!$O59 &amp; APIF_Import!$D$1,Podesavanja!$AA$3:$AD$28, 4, 0), 0)), ".", ","))</f>
        <v>0</v>
      </c>
      <c r="E59" s="230">
        <f ca="1">IF( ISNA( VLOOKUP( APIF_Import!$O59 &amp; APIF_Import!$E$1,Podesavanja!$AA$3:$AD$28, 4, 0)), "", VLOOKUP( APIF_Import!$C59, INDIRECT( "Lookup_" &amp; APIF_Import!$O59), VLOOKUP( APIF_Import!$O59 &amp; APIF_Import!$E$1,Podesavanja!$AA$3:$AD$28, 4, 0), 0))</f>
        <v>0</v>
      </c>
      <c r="F59" s="230">
        <f ca="1">IF( ISNA( VLOOKUP( APIF_Import!$O59 &amp; APIF_Import!$F$1,Podesavanja!$AA$3:$AD$28, 4, 0)), "", VLOOKUP( APIF_Import!$C59, INDIRECT( "Lookup_" &amp; APIF_Import!$O59), VLOOKUP( APIF_Import!$O59 &amp; APIF_Import!$F$1,Podesavanja!$AA$3:$AD$28, 4, 0), 0))</f>
        <v>0</v>
      </c>
      <c r="G59" s="230">
        <f ca="1">IF( ISNA( VLOOKUP( APIF_Import!$O59 &amp; APIF_Import!$G$1,Podesavanja!$AA$3:$AD$28, 4, 0)), "", VLOOKUP( APIF_Import!$C59, INDIRECT( "Lookup_" &amp; APIF_Import!$O59), VLOOKUP( APIF_Import!$O59 &amp; APIF_Import!$G$1,Podesavanja!$AA$3:$AD$28, 4, 0), 0))</f>
        <v>0</v>
      </c>
      <c r="H59" s="230" t="str">
        <f ca="1">IF( ISNA( VLOOKUP( APIF_Import!$O59 &amp; APIF_Import!$H$1,Podesavanja!$AA$3:$AD$28, 4, 0)), "", VLOOKUP( APIF_Import!$C59, INDIRECT( "Lookup_" &amp; APIF_Import!$O59), VLOOKUP( APIF_Import!$O59 &amp; APIF_Import!$H$1,Podesavanja!$AA$3:$AD$28, 4, 0), 0))</f>
        <v/>
      </c>
      <c r="I59" s="230" t="str">
        <f ca="1">IF( ISNA( VLOOKUP( APIF_Import!$O59 &amp; APIF_Import!$I$1,Podesavanja!$AA$3:$AD$28, 4, 0)), "", VLOOKUP( APIF_Import!$C59, INDIRECT( "Lookup_" &amp; APIF_Import!$M59:$O59), VLOOKUP( APIF_Import!$O59 &amp; APIF_Import!$I$1,Podesavanja!$AA$3:$AD$28, 4, 0), 0))</f>
        <v/>
      </c>
      <c r="J59" s="230" t="str">
        <f ca="1">IF( ISNA( VLOOKUP( APIF_Import!$O59 &amp; APIF_Import!$J$1,Podesavanja!$AA$3:$AD$28, 4, 0)), "", VLOOKUP( APIF_Import!$C59, INDIRECT( "Lookup_" &amp; APIF_Import!$M59:$O59), VLOOKUP( APIF_Import!$O59 &amp; APIF_Import!$J$1,Podesavanja!$AA$3:$AD$28, 4, 0), 0))</f>
        <v/>
      </c>
      <c r="K59" s="230" t="str">
        <f ca="1">IF( ISNA( VLOOKUP( APIF_Import!$O59 &amp; APIF_Import!$K$1,Podesavanja!$AA$3:$AD$28, 4, 0)), "", VLOOKUP( APIF_Import!$C59, INDIRECT( "Lookup_" &amp; APIF_Import!$M59:$O59), VLOOKUP( APIF_Import!$O59 &amp; APIF_Import!$K$1,Podesavanja!$AA$3:$AD$28, 4, 0), 0))</f>
        <v/>
      </c>
      <c r="L59" s="230" t="str">
        <f ca="1">IF( ISNA( VLOOKUP( APIF_Import!$O59 &amp; APIF_Import!$L$1,Podesavanja!$AA$3:$AD$28, 4, 0)), "", VLOOKUP( APIF_Import!$C59, INDIRECT( "Lookup_" &amp; APIF_Import!$M59:$O59), VLOOKUP( APIF_Import!$O59 &amp; APIF_Import!$L$1,Podesavanja!$AA$3:$AD$28, 4, 0), 0))</f>
        <v/>
      </c>
      <c r="M59" s="230" t="str">
        <f ca="1">IF( ISNA( VLOOKUP( APIF_Import!$O59 &amp; APIF_Import!$M$1,Podesavanja!$AA$3:$AD$28, 4, 0)), "", VLOOKUP( APIF_Import!$C59, INDIRECT( "Lookup_" &amp; APIF_Import!$M59:$O59), VLOOKUP( APIF_Import!$O59 &amp; APIF_Import!$M$1,Podesavanja!$AA$3:$AD$28, 4, 0), 0))</f>
        <v/>
      </c>
      <c r="N59" s="8">
        <v>58</v>
      </c>
      <c r="O59" s="230" t="s">
        <v>2897</v>
      </c>
    </row>
    <row r="60" spans="2:15">
      <c r="B60" s="44">
        <f ca="1">VLOOKUP( APIF_Import!$O60, Podesavanja!$N$3:$Q$9, 4, 0)</f>
        <v>1</v>
      </c>
      <c r="C60" s="229">
        <f ca="1">VLOOKUP( APIF_Import!$N60, Aop!$A$2:$P$456, 4, 0)</f>
        <v>59</v>
      </c>
      <c r="D60" s="230" t="str">
        <f ca="1">IF( ISNA( VLOOKUP( APIF_Import!$O60 &amp; APIF_Import!$D$1,Podesavanja!$AA$3:$AD$28, 4, 0)), "", SUBSTITUTE( VALUE( VLOOKUP( APIF_Import!$C60, INDIRECT( "Lookup_" &amp; APIF_Import!$O60), VLOOKUP( APIF_Import!$O60 &amp; APIF_Import!$D$1,Podesavanja!$AA$3:$AD$28, 4, 0), 0)), ".", ","))</f>
        <v>0</v>
      </c>
      <c r="E60" s="230">
        <f ca="1">IF( ISNA( VLOOKUP( APIF_Import!$O60 &amp; APIF_Import!$E$1,Podesavanja!$AA$3:$AD$28, 4, 0)), "", VLOOKUP( APIF_Import!$C60, INDIRECT( "Lookup_" &amp; APIF_Import!$O60), VLOOKUP( APIF_Import!$O60 &amp; APIF_Import!$E$1,Podesavanja!$AA$3:$AD$28, 4, 0), 0))</f>
        <v>0</v>
      </c>
      <c r="F60" s="230">
        <f ca="1">IF( ISNA( VLOOKUP( APIF_Import!$O60 &amp; APIF_Import!$F$1,Podesavanja!$AA$3:$AD$28, 4, 0)), "", VLOOKUP( APIF_Import!$C60, INDIRECT( "Lookup_" &amp; APIF_Import!$O60), VLOOKUP( APIF_Import!$O60 &amp; APIF_Import!$F$1,Podesavanja!$AA$3:$AD$28, 4, 0), 0))</f>
        <v>0</v>
      </c>
      <c r="G60" s="230">
        <f ca="1">IF( ISNA( VLOOKUP( APIF_Import!$O60 &amp; APIF_Import!$G$1,Podesavanja!$AA$3:$AD$28, 4, 0)), "", VLOOKUP( APIF_Import!$C60, INDIRECT( "Lookup_" &amp; APIF_Import!$O60), VLOOKUP( APIF_Import!$O60 &amp; APIF_Import!$G$1,Podesavanja!$AA$3:$AD$28, 4, 0), 0))</f>
        <v>0</v>
      </c>
      <c r="H60" s="230" t="str">
        <f ca="1">IF( ISNA( VLOOKUP( APIF_Import!$O60 &amp; APIF_Import!$H$1,Podesavanja!$AA$3:$AD$28, 4, 0)), "", VLOOKUP( APIF_Import!$C60, INDIRECT( "Lookup_" &amp; APIF_Import!$O60), VLOOKUP( APIF_Import!$O60 &amp; APIF_Import!$H$1,Podesavanja!$AA$3:$AD$28, 4, 0), 0))</f>
        <v/>
      </c>
      <c r="I60" s="230" t="str">
        <f ca="1">IF( ISNA( VLOOKUP( APIF_Import!$O60 &amp; APIF_Import!$I$1,Podesavanja!$AA$3:$AD$28, 4, 0)), "", VLOOKUP( APIF_Import!$C60, INDIRECT( "Lookup_" &amp; APIF_Import!$M60:$O60), VLOOKUP( APIF_Import!$O60 &amp; APIF_Import!$I$1,Podesavanja!$AA$3:$AD$28, 4, 0), 0))</f>
        <v/>
      </c>
      <c r="J60" s="230" t="str">
        <f ca="1">IF( ISNA( VLOOKUP( APIF_Import!$O60 &amp; APIF_Import!$J$1,Podesavanja!$AA$3:$AD$28, 4, 0)), "", VLOOKUP( APIF_Import!$C60, INDIRECT( "Lookup_" &amp; APIF_Import!$M60:$O60), VLOOKUP( APIF_Import!$O60 &amp; APIF_Import!$J$1,Podesavanja!$AA$3:$AD$28, 4, 0), 0))</f>
        <v/>
      </c>
      <c r="K60" s="230" t="str">
        <f ca="1">IF( ISNA( VLOOKUP( APIF_Import!$O60 &amp; APIF_Import!$K$1,Podesavanja!$AA$3:$AD$28, 4, 0)), "", VLOOKUP( APIF_Import!$C60, INDIRECT( "Lookup_" &amp; APIF_Import!$M60:$O60), VLOOKUP( APIF_Import!$O60 &amp; APIF_Import!$K$1,Podesavanja!$AA$3:$AD$28, 4, 0), 0))</f>
        <v/>
      </c>
      <c r="L60" s="230" t="str">
        <f ca="1">IF( ISNA( VLOOKUP( APIF_Import!$O60 &amp; APIF_Import!$L$1,Podesavanja!$AA$3:$AD$28, 4, 0)), "", VLOOKUP( APIF_Import!$C60, INDIRECT( "Lookup_" &amp; APIF_Import!$M60:$O60), VLOOKUP( APIF_Import!$O60 &amp; APIF_Import!$L$1,Podesavanja!$AA$3:$AD$28, 4, 0), 0))</f>
        <v/>
      </c>
      <c r="M60" s="230" t="str">
        <f ca="1">IF( ISNA( VLOOKUP( APIF_Import!$O60 &amp; APIF_Import!$M$1,Podesavanja!$AA$3:$AD$28, 4, 0)), "", VLOOKUP( APIF_Import!$C60, INDIRECT( "Lookup_" &amp; APIF_Import!$M60:$O60), VLOOKUP( APIF_Import!$O60 &amp; APIF_Import!$M$1,Podesavanja!$AA$3:$AD$28, 4, 0), 0))</f>
        <v/>
      </c>
      <c r="N60" s="8">
        <v>59</v>
      </c>
      <c r="O60" s="230" t="s">
        <v>2897</v>
      </c>
    </row>
    <row r="61" spans="2:15">
      <c r="B61" s="44">
        <f ca="1">VLOOKUP( APIF_Import!$O61, Podesavanja!$N$3:$Q$9, 4, 0)</f>
        <v>1</v>
      </c>
      <c r="C61" s="229">
        <f ca="1">VLOOKUP( APIF_Import!$N61, Aop!$A$2:$P$456, 4, 0)</f>
        <v>60</v>
      </c>
      <c r="D61" s="230" t="str">
        <f ca="1">IF( ISNA( VLOOKUP( APIF_Import!$O61 &amp; APIF_Import!$D$1,Podesavanja!$AA$3:$AD$28, 4, 0)), "", SUBSTITUTE( VALUE( VLOOKUP( APIF_Import!$C61, INDIRECT( "Lookup_" &amp; APIF_Import!$O61), VLOOKUP( APIF_Import!$O61 &amp; APIF_Import!$D$1,Podesavanja!$AA$3:$AD$28, 4, 0), 0)), ".", ","))</f>
        <v>0</v>
      </c>
      <c r="E61" s="230">
        <f ca="1">IF( ISNA( VLOOKUP( APIF_Import!$O61 &amp; APIF_Import!$E$1,Podesavanja!$AA$3:$AD$28, 4, 0)), "", VLOOKUP( APIF_Import!$C61, INDIRECT( "Lookup_" &amp; APIF_Import!$O61), VLOOKUP( APIF_Import!$O61 &amp; APIF_Import!$E$1,Podesavanja!$AA$3:$AD$28, 4, 0), 0))</f>
        <v>0</v>
      </c>
      <c r="F61" s="230">
        <f ca="1">IF( ISNA( VLOOKUP( APIF_Import!$O61 &amp; APIF_Import!$F$1,Podesavanja!$AA$3:$AD$28, 4, 0)), "", VLOOKUP( APIF_Import!$C61, INDIRECT( "Lookup_" &amp; APIF_Import!$O61), VLOOKUP( APIF_Import!$O61 &amp; APIF_Import!$F$1,Podesavanja!$AA$3:$AD$28, 4, 0), 0))</f>
        <v>0</v>
      </c>
      <c r="G61" s="230">
        <f ca="1">IF( ISNA( VLOOKUP( APIF_Import!$O61 &amp; APIF_Import!$G$1,Podesavanja!$AA$3:$AD$28, 4, 0)), "", VLOOKUP( APIF_Import!$C61, INDIRECT( "Lookup_" &amp; APIF_Import!$O61), VLOOKUP( APIF_Import!$O61 &amp; APIF_Import!$G$1,Podesavanja!$AA$3:$AD$28, 4, 0), 0))</f>
        <v>0</v>
      </c>
      <c r="H61" s="230" t="str">
        <f ca="1">IF( ISNA( VLOOKUP( APIF_Import!$O61 &amp; APIF_Import!$H$1,Podesavanja!$AA$3:$AD$28, 4, 0)), "", VLOOKUP( APIF_Import!$C61, INDIRECT( "Lookup_" &amp; APIF_Import!$O61), VLOOKUP( APIF_Import!$O61 &amp; APIF_Import!$H$1,Podesavanja!$AA$3:$AD$28, 4, 0), 0))</f>
        <v/>
      </c>
      <c r="I61" s="230" t="str">
        <f ca="1">IF( ISNA( VLOOKUP( APIF_Import!$O61 &amp; APIF_Import!$I$1,Podesavanja!$AA$3:$AD$28, 4, 0)), "", VLOOKUP( APIF_Import!$C61, INDIRECT( "Lookup_" &amp; APIF_Import!$M61:$O61), VLOOKUP( APIF_Import!$O61 &amp; APIF_Import!$I$1,Podesavanja!$AA$3:$AD$28, 4, 0), 0))</f>
        <v/>
      </c>
      <c r="J61" s="230" t="str">
        <f ca="1">IF( ISNA( VLOOKUP( APIF_Import!$O61 &amp; APIF_Import!$J$1,Podesavanja!$AA$3:$AD$28, 4, 0)), "", VLOOKUP( APIF_Import!$C61, INDIRECT( "Lookup_" &amp; APIF_Import!$M61:$O61), VLOOKUP( APIF_Import!$O61 &amp; APIF_Import!$J$1,Podesavanja!$AA$3:$AD$28, 4, 0), 0))</f>
        <v/>
      </c>
      <c r="K61" s="230" t="str">
        <f ca="1">IF( ISNA( VLOOKUP( APIF_Import!$O61 &amp; APIF_Import!$K$1,Podesavanja!$AA$3:$AD$28, 4, 0)), "", VLOOKUP( APIF_Import!$C61, INDIRECT( "Lookup_" &amp; APIF_Import!$M61:$O61), VLOOKUP( APIF_Import!$O61 &amp; APIF_Import!$K$1,Podesavanja!$AA$3:$AD$28, 4, 0), 0))</f>
        <v/>
      </c>
      <c r="L61" s="230" t="str">
        <f ca="1">IF( ISNA( VLOOKUP( APIF_Import!$O61 &amp; APIF_Import!$L$1,Podesavanja!$AA$3:$AD$28, 4, 0)), "", VLOOKUP( APIF_Import!$C61, INDIRECT( "Lookup_" &amp; APIF_Import!$M61:$O61), VLOOKUP( APIF_Import!$O61 &amp; APIF_Import!$L$1,Podesavanja!$AA$3:$AD$28, 4, 0), 0))</f>
        <v/>
      </c>
      <c r="M61" s="230" t="str">
        <f ca="1">IF( ISNA( VLOOKUP( APIF_Import!$O61 &amp; APIF_Import!$M$1,Podesavanja!$AA$3:$AD$28, 4, 0)), "", VLOOKUP( APIF_Import!$C61, INDIRECT( "Lookup_" &amp; APIF_Import!$M61:$O61), VLOOKUP( APIF_Import!$O61 &amp; APIF_Import!$M$1,Podesavanja!$AA$3:$AD$28, 4, 0), 0))</f>
        <v/>
      </c>
      <c r="N61" s="8">
        <v>60</v>
      </c>
      <c r="O61" s="230" t="s">
        <v>2897</v>
      </c>
    </row>
    <row r="62" spans="2:15">
      <c r="B62" s="44">
        <f ca="1">VLOOKUP( APIF_Import!$O62, Podesavanja!$N$3:$Q$9, 4, 0)</f>
        <v>1</v>
      </c>
      <c r="C62" s="229">
        <f ca="1">VLOOKUP( APIF_Import!$N62, Aop!$A$2:$P$456, 4, 0)</f>
        <v>61</v>
      </c>
      <c r="D62" s="230" t="str">
        <f ca="1">IF( ISNA( VLOOKUP( APIF_Import!$O62 &amp; APIF_Import!$D$1,Podesavanja!$AA$3:$AD$28, 4, 0)), "", SUBSTITUTE( VALUE( VLOOKUP( APIF_Import!$C62, INDIRECT( "Lookup_" &amp; APIF_Import!$O62), VLOOKUP( APIF_Import!$O62 &amp; APIF_Import!$D$1,Podesavanja!$AA$3:$AD$28, 4, 0), 0)), ".", ","))</f>
        <v>18688775</v>
      </c>
      <c r="E62" s="230">
        <f ca="1">IF( ISNA( VLOOKUP( APIF_Import!$O62 &amp; APIF_Import!$E$1,Podesavanja!$AA$3:$AD$28, 4, 0)), "", VLOOKUP( APIF_Import!$C62, INDIRECT( "Lookup_" &amp; APIF_Import!$O62), VLOOKUP( APIF_Import!$O62 &amp; APIF_Import!$E$1,Podesavanja!$AA$3:$AD$28, 4, 0), 0))</f>
        <v>0</v>
      </c>
      <c r="F62" s="230">
        <f ca="1">IF( ISNA( VLOOKUP( APIF_Import!$O62 &amp; APIF_Import!$F$1,Podesavanja!$AA$3:$AD$28, 4, 0)), "", VLOOKUP( APIF_Import!$C62, INDIRECT( "Lookup_" &amp; APIF_Import!$O62), VLOOKUP( APIF_Import!$O62 &amp; APIF_Import!$F$1,Podesavanja!$AA$3:$AD$28, 4, 0), 0))</f>
        <v>18688775</v>
      </c>
      <c r="G62" s="230">
        <f ca="1">IF( ISNA( VLOOKUP( APIF_Import!$O62 &amp; APIF_Import!$G$1,Podesavanja!$AA$3:$AD$28, 4, 0)), "", VLOOKUP( APIF_Import!$C62, INDIRECT( "Lookup_" &amp; APIF_Import!$O62), VLOOKUP( APIF_Import!$O62 &amp; APIF_Import!$G$1,Podesavanja!$AA$3:$AD$28, 4, 0), 0))</f>
        <v>1877593</v>
      </c>
      <c r="H62" s="230" t="str">
        <f ca="1">IF( ISNA( VLOOKUP( APIF_Import!$O62 &amp; APIF_Import!$H$1,Podesavanja!$AA$3:$AD$28, 4, 0)), "", VLOOKUP( APIF_Import!$C62, INDIRECT( "Lookup_" &amp; APIF_Import!$O62), VLOOKUP( APIF_Import!$O62 &amp; APIF_Import!$H$1,Podesavanja!$AA$3:$AD$28, 4, 0), 0))</f>
        <v/>
      </c>
      <c r="I62" s="230" t="str">
        <f ca="1">IF( ISNA( VLOOKUP( APIF_Import!$O62 &amp; APIF_Import!$I$1,Podesavanja!$AA$3:$AD$28, 4, 0)), "", VLOOKUP( APIF_Import!$C62, INDIRECT( "Lookup_" &amp; APIF_Import!$M62:$O62), VLOOKUP( APIF_Import!$O62 &amp; APIF_Import!$I$1,Podesavanja!$AA$3:$AD$28, 4, 0), 0))</f>
        <v/>
      </c>
      <c r="J62" s="230" t="str">
        <f ca="1">IF( ISNA( VLOOKUP( APIF_Import!$O62 &amp; APIF_Import!$J$1,Podesavanja!$AA$3:$AD$28, 4, 0)), "", VLOOKUP( APIF_Import!$C62, INDIRECT( "Lookup_" &amp; APIF_Import!$M62:$O62), VLOOKUP( APIF_Import!$O62 &amp; APIF_Import!$J$1,Podesavanja!$AA$3:$AD$28, 4, 0), 0))</f>
        <v/>
      </c>
      <c r="K62" s="230" t="str">
        <f ca="1">IF( ISNA( VLOOKUP( APIF_Import!$O62 &amp; APIF_Import!$K$1,Podesavanja!$AA$3:$AD$28, 4, 0)), "", VLOOKUP( APIF_Import!$C62, INDIRECT( "Lookup_" &amp; APIF_Import!$M62:$O62), VLOOKUP( APIF_Import!$O62 &amp; APIF_Import!$K$1,Podesavanja!$AA$3:$AD$28, 4, 0), 0))</f>
        <v/>
      </c>
      <c r="L62" s="230" t="str">
        <f ca="1">IF( ISNA( VLOOKUP( APIF_Import!$O62 &amp; APIF_Import!$L$1,Podesavanja!$AA$3:$AD$28, 4, 0)), "", VLOOKUP( APIF_Import!$C62, INDIRECT( "Lookup_" &amp; APIF_Import!$M62:$O62), VLOOKUP( APIF_Import!$O62 &amp; APIF_Import!$L$1,Podesavanja!$AA$3:$AD$28, 4, 0), 0))</f>
        <v/>
      </c>
      <c r="M62" s="230" t="str">
        <f ca="1">IF( ISNA( VLOOKUP( APIF_Import!$O62 &amp; APIF_Import!$M$1,Podesavanja!$AA$3:$AD$28, 4, 0)), "", VLOOKUP( APIF_Import!$C62, INDIRECT( "Lookup_" &amp; APIF_Import!$M62:$O62), VLOOKUP( APIF_Import!$O62 &amp; APIF_Import!$M$1,Podesavanja!$AA$3:$AD$28, 4, 0), 0))</f>
        <v/>
      </c>
      <c r="N62" s="8">
        <v>61</v>
      </c>
      <c r="O62" s="230" t="s">
        <v>2897</v>
      </c>
    </row>
    <row r="63" spans="2:15">
      <c r="B63" s="44">
        <f ca="1">VLOOKUP( APIF_Import!$O63, Podesavanja!$N$3:$Q$9, 4, 0)</f>
        <v>1</v>
      </c>
      <c r="C63" s="229">
        <f ca="1">VLOOKUP( APIF_Import!$N63, Aop!$A$2:$P$456, 4, 0)</f>
        <v>62</v>
      </c>
      <c r="D63" s="230" t="str">
        <f ca="1">IF( ISNA( VLOOKUP( APIF_Import!$O63 &amp; APIF_Import!$D$1,Podesavanja!$AA$3:$AD$28, 4, 0)), "", SUBSTITUTE( VALUE( VLOOKUP( APIF_Import!$C63, INDIRECT( "Lookup_" &amp; APIF_Import!$O63), VLOOKUP( APIF_Import!$O63 &amp; APIF_Import!$D$1,Podesavanja!$AA$3:$AD$28, 4, 0), 0)), ".", ","))</f>
        <v>0</v>
      </c>
      <c r="E63" s="230">
        <f ca="1">IF( ISNA( VLOOKUP( APIF_Import!$O63 &amp; APIF_Import!$E$1,Podesavanja!$AA$3:$AD$28, 4, 0)), "", VLOOKUP( APIF_Import!$C63, INDIRECT( "Lookup_" &amp; APIF_Import!$O63), VLOOKUP( APIF_Import!$O63 &amp; APIF_Import!$E$1,Podesavanja!$AA$3:$AD$28, 4, 0), 0))</f>
        <v>0</v>
      </c>
      <c r="F63" s="230">
        <f ca="1">IF( ISNA( VLOOKUP( APIF_Import!$O63 &amp; APIF_Import!$F$1,Podesavanja!$AA$3:$AD$28, 4, 0)), "", VLOOKUP( APIF_Import!$C63, INDIRECT( "Lookup_" &amp; APIF_Import!$O63), VLOOKUP( APIF_Import!$O63 &amp; APIF_Import!$F$1,Podesavanja!$AA$3:$AD$28, 4, 0), 0))</f>
        <v>0</v>
      </c>
      <c r="G63" s="230">
        <f ca="1">IF( ISNA( VLOOKUP( APIF_Import!$O63 &amp; APIF_Import!$G$1,Podesavanja!$AA$3:$AD$28, 4, 0)), "", VLOOKUP( APIF_Import!$C63, INDIRECT( "Lookup_" &amp; APIF_Import!$O63), VLOOKUP( APIF_Import!$O63 &amp; APIF_Import!$G$1,Podesavanja!$AA$3:$AD$28, 4, 0), 0))</f>
        <v>0</v>
      </c>
      <c r="H63" s="230" t="str">
        <f ca="1">IF( ISNA( VLOOKUP( APIF_Import!$O63 &amp; APIF_Import!$H$1,Podesavanja!$AA$3:$AD$28, 4, 0)), "", VLOOKUP( APIF_Import!$C63, INDIRECT( "Lookup_" &amp; APIF_Import!$O63), VLOOKUP( APIF_Import!$O63 &amp; APIF_Import!$H$1,Podesavanja!$AA$3:$AD$28, 4, 0), 0))</f>
        <v/>
      </c>
      <c r="I63" s="230" t="str">
        <f ca="1">IF( ISNA( VLOOKUP( APIF_Import!$O63 &amp; APIF_Import!$I$1,Podesavanja!$AA$3:$AD$28, 4, 0)), "", VLOOKUP( APIF_Import!$C63, INDIRECT( "Lookup_" &amp; APIF_Import!$M63:$O63), VLOOKUP( APIF_Import!$O63 &amp; APIF_Import!$I$1,Podesavanja!$AA$3:$AD$28, 4, 0), 0))</f>
        <v/>
      </c>
      <c r="J63" s="230" t="str">
        <f ca="1">IF( ISNA( VLOOKUP( APIF_Import!$O63 &amp; APIF_Import!$J$1,Podesavanja!$AA$3:$AD$28, 4, 0)), "", VLOOKUP( APIF_Import!$C63, INDIRECT( "Lookup_" &amp; APIF_Import!$M63:$O63), VLOOKUP( APIF_Import!$O63 &amp; APIF_Import!$J$1,Podesavanja!$AA$3:$AD$28, 4, 0), 0))</f>
        <v/>
      </c>
      <c r="K63" s="230" t="str">
        <f ca="1">IF( ISNA( VLOOKUP( APIF_Import!$O63 &amp; APIF_Import!$K$1,Podesavanja!$AA$3:$AD$28, 4, 0)), "", VLOOKUP( APIF_Import!$C63, INDIRECT( "Lookup_" &amp; APIF_Import!$M63:$O63), VLOOKUP( APIF_Import!$O63 &amp; APIF_Import!$K$1,Podesavanja!$AA$3:$AD$28, 4, 0), 0))</f>
        <v/>
      </c>
      <c r="L63" s="230" t="str">
        <f ca="1">IF( ISNA( VLOOKUP( APIF_Import!$O63 &amp; APIF_Import!$L$1,Podesavanja!$AA$3:$AD$28, 4, 0)), "", VLOOKUP( APIF_Import!$C63, INDIRECT( "Lookup_" &amp; APIF_Import!$M63:$O63), VLOOKUP( APIF_Import!$O63 &amp; APIF_Import!$L$1,Podesavanja!$AA$3:$AD$28, 4, 0), 0))</f>
        <v/>
      </c>
      <c r="M63" s="230" t="str">
        <f ca="1">IF( ISNA( VLOOKUP( APIF_Import!$O63 &amp; APIF_Import!$M$1,Podesavanja!$AA$3:$AD$28, 4, 0)), "", VLOOKUP( APIF_Import!$C63, INDIRECT( "Lookup_" &amp; APIF_Import!$M63:$O63), VLOOKUP( APIF_Import!$O63 &amp; APIF_Import!$M$1,Podesavanja!$AA$3:$AD$28, 4, 0), 0))</f>
        <v/>
      </c>
      <c r="N63" s="8">
        <v>62</v>
      </c>
      <c r="O63" s="230" t="s">
        <v>2897</v>
      </c>
    </row>
    <row r="64" spans="2:15">
      <c r="B64" s="44">
        <f ca="1">VLOOKUP( APIF_Import!$O64, Podesavanja!$N$3:$Q$9, 4, 0)</f>
        <v>1</v>
      </c>
      <c r="C64" s="229">
        <f ca="1">VLOOKUP( APIF_Import!$N64, Aop!$A$2:$P$456, 4, 0)</f>
        <v>63</v>
      </c>
      <c r="D64" s="230" t="str">
        <f ca="1">IF( ISNA( VLOOKUP( APIF_Import!$O64 &amp; APIF_Import!$D$1,Podesavanja!$AA$3:$AD$28, 4, 0)), "", SUBSTITUTE( VALUE( VLOOKUP( APIF_Import!$C64, INDIRECT( "Lookup_" &amp; APIF_Import!$O64), VLOOKUP( APIF_Import!$O64 &amp; APIF_Import!$D$1,Podesavanja!$AA$3:$AD$28, 4, 0), 0)), ".", ","))</f>
        <v>18688775</v>
      </c>
      <c r="E64" s="230">
        <f ca="1">IF( ISNA( VLOOKUP( APIF_Import!$O64 &amp; APIF_Import!$E$1,Podesavanja!$AA$3:$AD$28, 4, 0)), "", VLOOKUP( APIF_Import!$C64, INDIRECT( "Lookup_" &amp; APIF_Import!$O64), VLOOKUP( APIF_Import!$O64 &amp; APIF_Import!$E$1,Podesavanja!$AA$3:$AD$28, 4, 0), 0))</f>
        <v>0</v>
      </c>
      <c r="F64" s="230">
        <f ca="1">IF( ISNA( VLOOKUP( APIF_Import!$O64 &amp; APIF_Import!$F$1,Podesavanja!$AA$3:$AD$28, 4, 0)), "", VLOOKUP( APIF_Import!$C64, INDIRECT( "Lookup_" &amp; APIF_Import!$O64), VLOOKUP( APIF_Import!$O64 &amp; APIF_Import!$F$1,Podesavanja!$AA$3:$AD$28, 4, 0), 0))</f>
        <v>18688775</v>
      </c>
      <c r="G64" s="230">
        <f ca="1">IF( ISNA( VLOOKUP( APIF_Import!$O64 &amp; APIF_Import!$G$1,Podesavanja!$AA$3:$AD$28, 4, 0)), "", VLOOKUP( APIF_Import!$C64, INDIRECT( "Lookup_" &amp; APIF_Import!$O64), VLOOKUP( APIF_Import!$O64 &amp; APIF_Import!$G$1,Podesavanja!$AA$3:$AD$28, 4, 0), 0))</f>
        <v>1877593</v>
      </c>
      <c r="H64" s="230" t="str">
        <f ca="1">IF( ISNA( VLOOKUP( APIF_Import!$O64 &amp; APIF_Import!$H$1,Podesavanja!$AA$3:$AD$28, 4, 0)), "", VLOOKUP( APIF_Import!$C64, INDIRECT( "Lookup_" &amp; APIF_Import!$O64), VLOOKUP( APIF_Import!$O64 &amp; APIF_Import!$H$1,Podesavanja!$AA$3:$AD$28, 4, 0), 0))</f>
        <v/>
      </c>
      <c r="I64" s="230" t="str">
        <f ca="1">IF( ISNA( VLOOKUP( APIF_Import!$O64 &amp; APIF_Import!$I$1,Podesavanja!$AA$3:$AD$28, 4, 0)), "", VLOOKUP( APIF_Import!$C64, INDIRECT( "Lookup_" &amp; APIF_Import!$M64:$O64), VLOOKUP( APIF_Import!$O64 &amp; APIF_Import!$I$1,Podesavanja!$AA$3:$AD$28, 4, 0), 0))</f>
        <v/>
      </c>
      <c r="J64" s="230" t="str">
        <f ca="1">IF( ISNA( VLOOKUP( APIF_Import!$O64 &amp; APIF_Import!$J$1,Podesavanja!$AA$3:$AD$28, 4, 0)), "", VLOOKUP( APIF_Import!$C64, INDIRECT( "Lookup_" &amp; APIF_Import!$M64:$O64), VLOOKUP( APIF_Import!$O64 &amp; APIF_Import!$J$1,Podesavanja!$AA$3:$AD$28, 4, 0), 0))</f>
        <v/>
      </c>
      <c r="K64" s="230" t="str">
        <f ca="1">IF( ISNA( VLOOKUP( APIF_Import!$O64 &amp; APIF_Import!$K$1,Podesavanja!$AA$3:$AD$28, 4, 0)), "", VLOOKUP( APIF_Import!$C64, INDIRECT( "Lookup_" &amp; APIF_Import!$M64:$O64), VLOOKUP( APIF_Import!$O64 &amp; APIF_Import!$K$1,Podesavanja!$AA$3:$AD$28, 4, 0), 0))</f>
        <v/>
      </c>
      <c r="L64" s="230" t="str">
        <f ca="1">IF( ISNA( VLOOKUP( APIF_Import!$O64 &amp; APIF_Import!$L$1,Podesavanja!$AA$3:$AD$28, 4, 0)), "", VLOOKUP( APIF_Import!$C64, INDIRECT( "Lookup_" &amp; APIF_Import!$M64:$O64), VLOOKUP( APIF_Import!$O64 &amp; APIF_Import!$L$1,Podesavanja!$AA$3:$AD$28, 4, 0), 0))</f>
        <v/>
      </c>
      <c r="M64" s="230" t="str">
        <f ca="1">IF( ISNA( VLOOKUP( APIF_Import!$O64 &amp; APIF_Import!$M$1,Podesavanja!$AA$3:$AD$28, 4, 0)), "", VLOOKUP( APIF_Import!$C64, INDIRECT( "Lookup_" &amp; APIF_Import!$M64:$O64), VLOOKUP( APIF_Import!$O64 &amp; APIF_Import!$M$1,Podesavanja!$AA$3:$AD$28, 4, 0), 0))</f>
        <v/>
      </c>
      <c r="N64" s="8">
        <v>63</v>
      </c>
      <c r="O64" s="230" t="s">
        <v>2897</v>
      </c>
    </row>
    <row r="65" spans="2:15">
      <c r="B65" s="44">
        <f ca="1">VLOOKUP( APIF_Import!$O65, Podesavanja!$N$3:$Q$9, 4, 0)</f>
        <v>1</v>
      </c>
      <c r="C65" s="229">
        <f ca="1">VLOOKUP( APIF_Import!$N65, Aop!$A$2:$P$456, 4, 0)</f>
        <v>64</v>
      </c>
      <c r="D65" s="230" t="str">
        <f ca="1">IF( ISNA( VLOOKUP( APIF_Import!$O65 &amp; APIF_Import!$D$1,Podesavanja!$AA$3:$AD$28, 4, 0)), "", SUBSTITUTE( VALUE( VLOOKUP( APIF_Import!$C65, INDIRECT( "Lookup_" &amp; APIF_Import!$O65), VLOOKUP( APIF_Import!$O65 &amp; APIF_Import!$D$1,Podesavanja!$AA$3:$AD$28, 4, 0), 0)), ".", ","))</f>
        <v>11274</v>
      </c>
      <c r="E65" s="230">
        <f ca="1">IF( ISNA( VLOOKUP( APIF_Import!$O65 &amp; APIF_Import!$E$1,Podesavanja!$AA$3:$AD$28, 4, 0)), "", VLOOKUP( APIF_Import!$C65, INDIRECT( "Lookup_" &amp; APIF_Import!$O65), VLOOKUP( APIF_Import!$O65 &amp; APIF_Import!$E$1,Podesavanja!$AA$3:$AD$28, 4, 0), 0))</f>
        <v>0</v>
      </c>
      <c r="F65" s="230">
        <f ca="1">IF( ISNA( VLOOKUP( APIF_Import!$O65 &amp; APIF_Import!$F$1,Podesavanja!$AA$3:$AD$28, 4, 0)), "", VLOOKUP( APIF_Import!$C65, INDIRECT( "Lookup_" &amp; APIF_Import!$O65), VLOOKUP( APIF_Import!$O65 &amp; APIF_Import!$F$1,Podesavanja!$AA$3:$AD$28, 4, 0), 0))</f>
        <v>11274</v>
      </c>
      <c r="G65" s="230">
        <f ca="1">IF( ISNA( VLOOKUP( APIF_Import!$O65 &amp; APIF_Import!$G$1,Podesavanja!$AA$3:$AD$28, 4, 0)), "", VLOOKUP( APIF_Import!$C65, INDIRECT( "Lookup_" &amp; APIF_Import!$O65), VLOOKUP( APIF_Import!$O65 &amp; APIF_Import!$G$1,Podesavanja!$AA$3:$AD$28, 4, 0), 0))</f>
        <v>92898</v>
      </c>
      <c r="H65" s="230" t="str">
        <f ca="1">IF( ISNA( VLOOKUP( APIF_Import!$O65 &amp; APIF_Import!$H$1,Podesavanja!$AA$3:$AD$28, 4, 0)), "", VLOOKUP( APIF_Import!$C65, INDIRECT( "Lookup_" &amp; APIF_Import!$O65), VLOOKUP( APIF_Import!$O65 &amp; APIF_Import!$H$1,Podesavanja!$AA$3:$AD$28, 4, 0), 0))</f>
        <v/>
      </c>
      <c r="I65" s="230" t="str">
        <f ca="1">IF( ISNA( VLOOKUP( APIF_Import!$O65 &amp; APIF_Import!$I$1,Podesavanja!$AA$3:$AD$28, 4, 0)), "", VLOOKUP( APIF_Import!$C65, INDIRECT( "Lookup_" &amp; APIF_Import!$M65:$O65), VLOOKUP( APIF_Import!$O65 &amp; APIF_Import!$I$1,Podesavanja!$AA$3:$AD$28, 4, 0), 0))</f>
        <v/>
      </c>
      <c r="J65" s="230" t="str">
        <f ca="1">IF( ISNA( VLOOKUP( APIF_Import!$O65 &amp; APIF_Import!$J$1,Podesavanja!$AA$3:$AD$28, 4, 0)), "", VLOOKUP( APIF_Import!$C65, INDIRECT( "Lookup_" &amp; APIF_Import!$M65:$O65), VLOOKUP( APIF_Import!$O65 &amp; APIF_Import!$J$1,Podesavanja!$AA$3:$AD$28, 4, 0), 0))</f>
        <v/>
      </c>
      <c r="K65" s="230" t="str">
        <f ca="1">IF( ISNA( VLOOKUP( APIF_Import!$O65 &amp; APIF_Import!$K$1,Podesavanja!$AA$3:$AD$28, 4, 0)), "", VLOOKUP( APIF_Import!$C65, INDIRECT( "Lookup_" &amp; APIF_Import!$M65:$O65), VLOOKUP( APIF_Import!$O65 &amp; APIF_Import!$K$1,Podesavanja!$AA$3:$AD$28, 4, 0), 0))</f>
        <v/>
      </c>
      <c r="L65" s="230" t="str">
        <f ca="1">IF( ISNA( VLOOKUP( APIF_Import!$O65 &amp; APIF_Import!$L$1,Podesavanja!$AA$3:$AD$28, 4, 0)), "", VLOOKUP( APIF_Import!$C65, INDIRECT( "Lookup_" &amp; APIF_Import!$M65:$O65), VLOOKUP( APIF_Import!$O65 &amp; APIF_Import!$L$1,Podesavanja!$AA$3:$AD$28, 4, 0), 0))</f>
        <v/>
      </c>
      <c r="M65" s="230" t="str">
        <f ca="1">IF( ISNA( VLOOKUP( APIF_Import!$O65 &amp; APIF_Import!$M$1,Podesavanja!$AA$3:$AD$28, 4, 0)), "", VLOOKUP( APIF_Import!$C65, INDIRECT( "Lookup_" &amp; APIF_Import!$M65:$O65), VLOOKUP( APIF_Import!$O65 &amp; APIF_Import!$M$1,Podesavanja!$AA$3:$AD$28, 4, 0), 0))</f>
        <v/>
      </c>
      <c r="N65" s="8">
        <v>64</v>
      </c>
      <c r="O65" s="230" t="s">
        <v>2897</v>
      </c>
    </row>
    <row r="66" spans="2:15">
      <c r="B66" s="44">
        <f ca="1">VLOOKUP( APIF_Import!$O66, Podesavanja!$N$3:$Q$9, 4, 0)</f>
        <v>1</v>
      </c>
      <c r="C66" s="229">
        <f ca="1">VLOOKUP( APIF_Import!$N66, Aop!$A$2:$P$456, 4, 0)</f>
        <v>65</v>
      </c>
      <c r="D66" s="230" t="str">
        <f ca="1">IF( ISNA( VLOOKUP( APIF_Import!$O66 &amp; APIF_Import!$D$1,Podesavanja!$AA$3:$AD$28, 4, 0)), "", SUBSTITUTE( VALUE( VLOOKUP( APIF_Import!$C66, INDIRECT( "Lookup_" &amp; APIF_Import!$O66), VLOOKUP( APIF_Import!$O66 &amp; APIF_Import!$D$1,Podesavanja!$AA$3:$AD$28, 4, 0), 0)), ".", ","))</f>
        <v>0</v>
      </c>
      <c r="E66" s="230">
        <f ca="1">IF( ISNA( VLOOKUP( APIF_Import!$O66 &amp; APIF_Import!$E$1,Podesavanja!$AA$3:$AD$28, 4, 0)), "", VLOOKUP( APIF_Import!$C66, INDIRECT( "Lookup_" &amp; APIF_Import!$O66), VLOOKUP( APIF_Import!$O66 &amp; APIF_Import!$E$1,Podesavanja!$AA$3:$AD$28, 4, 0), 0))</f>
        <v>0</v>
      </c>
      <c r="F66" s="230">
        <f ca="1">IF( ISNA( VLOOKUP( APIF_Import!$O66 &amp; APIF_Import!$F$1,Podesavanja!$AA$3:$AD$28, 4, 0)), "", VLOOKUP( APIF_Import!$C66, INDIRECT( "Lookup_" &amp; APIF_Import!$O66), VLOOKUP( APIF_Import!$O66 &amp; APIF_Import!$F$1,Podesavanja!$AA$3:$AD$28, 4, 0), 0))</f>
        <v>0</v>
      </c>
      <c r="G66" s="230">
        <f ca="1">IF( ISNA( VLOOKUP( APIF_Import!$O66 &amp; APIF_Import!$G$1,Podesavanja!$AA$3:$AD$28, 4, 0)), "", VLOOKUP( APIF_Import!$C66, INDIRECT( "Lookup_" &amp; APIF_Import!$O66), VLOOKUP( APIF_Import!$O66 &amp; APIF_Import!$G$1,Podesavanja!$AA$3:$AD$28, 4, 0), 0))</f>
        <v>161</v>
      </c>
      <c r="H66" s="230" t="str">
        <f ca="1">IF( ISNA( VLOOKUP( APIF_Import!$O66 &amp; APIF_Import!$H$1,Podesavanja!$AA$3:$AD$28, 4, 0)), "", VLOOKUP( APIF_Import!$C66, INDIRECT( "Lookup_" &amp; APIF_Import!$O66), VLOOKUP( APIF_Import!$O66 &amp; APIF_Import!$H$1,Podesavanja!$AA$3:$AD$28, 4, 0), 0))</f>
        <v/>
      </c>
      <c r="I66" s="230" t="str">
        <f ca="1">IF( ISNA( VLOOKUP( APIF_Import!$O66 &amp; APIF_Import!$I$1,Podesavanja!$AA$3:$AD$28, 4, 0)), "", VLOOKUP( APIF_Import!$C66, INDIRECT( "Lookup_" &amp; APIF_Import!$M66:$O66), VLOOKUP( APIF_Import!$O66 &amp; APIF_Import!$I$1,Podesavanja!$AA$3:$AD$28, 4, 0), 0))</f>
        <v/>
      </c>
      <c r="J66" s="230" t="str">
        <f ca="1">IF( ISNA( VLOOKUP( APIF_Import!$O66 &amp; APIF_Import!$J$1,Podesavanja!$AA$3:$AD$28, 4, 0)), "", VLOOKUP( APIF_Import!$C66, INDIRECT( "Lookup_" &amp; APIF_Import!$M66:$O66), VLOOKUP( APIF_Import!$O66 &amp; APIF_Import!$J$1,Podesavanja!$AA$3:$AD$28, 4, 0), 0))</f>
        <v/>
      </c>
      <c r="K66" s="230" t="str">
        <f ca="1">IF( ISNA( VLOOKUP( APIF_Import!$O66 &amp; APIF_Import!$K$1,Podesavanja!$AA$3:$AD$28, 4, 0)), "", VLOOKUP( APIF_Import!$C66, INDIRECT( "Lookup_" &amp; APIF_Import!$M66:$O66), VLOOKUP( APIF_Import!$O66 &amp; APIF_Import!$K$1,Podesavanja!$AA$3:$AD$28, 4, 0), 0))</f>
        <v/>
      </c>
      <c r="L66" s="230" t="str">
        <f ca="1">IF( ISNA( VLOOKUP( APIF_Import!$O66 &amp; APIF_Import!$L$1,Podesavanja!$AA$3:$AD$28, 4, 0)), "", VLOOKUP( APIF_Import!$C66, INDIRECT( "Lookup_" &amp; APIF_Import!$M66:$O66), VLOOKUP( APIF_Import!$O66 &amp; APIF_Import!$L$1,Podesavanja!$AA$3:$AD$28, 4, 0), 0))</f>
        <v/>
      </c>
      <c r="M66" s="230" t="str">
        <f ca="1">IF( ISNA( VLOOKUP( APIF_Import!$O66 &amp; APIF_Import!$M$1,Podesavanja!$AA$3:$AD$28, 4, 0)), "", VLOOKUP( APIF_Import!$C66, INDIRECT( "Lookup_" &amp; APIF_Import!$M66:$O66), VLOOKUP( APIF_Import!$O66 &amp; APIF_Import!$M$1,Podesavanja!$AA$3:$AD$28, 4, 0), 0))</f>
        <v/>
      </c>
      <c r="N66" s="8">
        <v>65</v>
      </c>
      <c r="O66" s="230" t="s">
        <v>2897</v>
      </c>
    </row>
    <row r="67" spans="2:15">
      <c r="B67" s="44">
        <f ca="1">VLOOKUP( APIF_Import!$O67, Podesavanja!$N$3:$Q$9, 4, 0)</f>
        <v>1</v>
      </c>
      <c r="C67" s="231">
        <f ca="1">VLOOKUP( APIF_Import!$N67, Aop!$A$2:$P$456, 4, 0)</f>
        <v>66</v>
      </c>
      <c r="D67" s="232" t="str">
        <f ca="1">IF( ISNA( VLOOKUP( APIF_Import!$O67 &amp; APIF_Import!$D$1,Podesavanja!$AA$3:$AD$28, 4, 0)), "", SUBSTITUTE( VALUE( VLOOKUP( APIF_Import!$C67, INDIRECT( "Lookup_" &amp; APIF_Import!$O67), VLOOKUP( APIF_Import!$O67 &amp; APIF_Import!$D$1,Podesavanja!$AA$3:$AD$28, 4, 0), 0)), ".", ","))</f>
        <v>169217927</v>
      </c>
      <c r="E67" s="230">
        <f ca="1">IF( ISNA( VLOOKUP( APIF_Import!$O67 &amp; APIF_Import!$E$1,Podesavanja!$AA$3:$AD$28, 4, 0)), "", VLOOKUP( APIF_Import!$C67, INDIRECT( "Lookup_" &amp; APIF_Import!$O67), VLOOKUP( APIF_Import!$O67 &amp; APIF_Import!$E$1,Podesavanja!$AA$3:$AD$28, 4, 0), 0))</f>
        <v>96985911</v>
      </c>
      <c r="F67" s="232">
        <f ca="1">IF( ISNA( VLOOKUP( APIF_Import!$O67 &amp; APIF_Import!$F$1,Podesavanja!$AA$3:$AD$28, 4, 0)), "", VLOOKUP( APIF_Import!$C67, INDIRECT( "Lookup_" &amp; APIF_Import!$O67), VLOOKUP( APIF_Import!$O67 &amp; APIF_Import!$F$1,Podesavanja!$AA$3:$AD$28, 4, 0), 0))</f>
        <v>72232016</v>
      </c>
      <c r="G67" s="232">
        <f ca="1">IF( ISNA( VLOOKUP( APIF_Import!$O67 &amp; APIF_Import!$G$1,Podesavanja!$AA$3:$AD$28, 4, 0)), "", VLOOKUP( APIF_Import!$C67, INDIRECT( "Lookup_" &amp; APIF_Import!$O67), VLOOKUP( APIF_Import!$O67 &amp; APIF_Import!$G$1,Podesavanja!$AA$3:$AD$28, 4, 0), 0))</f>
        <v>85687390</v>
      </c>
      <c r="H67" s="232" t="str">
        <f ca="1">IF( ISNA( VLOOKUP( APIF_Import!$O67 &amp; APIF_Import!$H$1,Podesavanja!$AA$3:$AD$28, 4, 0)), "", VLOOKUP( APIF_Import!$C67, INDIRECT( "Lookup_" &amp; APIF_Import!$O67), VLOOKUP( APIF_Import!$O67 &amp; APIF_Import!$H$1,Podesavanja!$AA$3:$AD$28, 4, 0), 0))</f>
        <v/>
      </c>
      <c r="I67" s="230" t="str">
        <f ca="1">IF( ISNA( VLOOKUP( APIF_Import!$O67 &amp; APIF_Import!$I$1,Podesavanja!$AA$3:$AD$28, 4, 0)), "", VLOOKUP( APIF_Import!$C67, INDIRECT( "Lookup_" &amp; APIF_Import!$M67:$O67), VLOOKUP( APIF_Import!$O67 &amp; APIF_Import!$I$1,Podesavanja!$AA$3:$AD$28, 4, 0), 0))</f>
        <v/>
      </c>
      <c r="J67" s="230" t="str">
        <f ca="1">IF( ISNA( VLOOKUP( APIF_Import!$O67 &amp; APIF_Import!$J$1,Podesavanja!$AA$3:$AD$28, 4, 0)), "", VLOOKUP( APIF_Import!$C67, INDIRECT( "Lookup_" &amp; APIF_Import!$M67:$O67), VLOOKUP( APIF_Import!$O67 &amp; APIF_Import!$J$1,Podesavanja!$AA$3:$AD$28, 4, 0), 0))</f>
        <v/>
      </c>
      <c r="K67" s="230" t="str">
        <f ca="1">IF( ISNA( VLOOKUP( APIF_Import!$O67 &amp; APIF_Import!$K$1,Podesavanja!$AA$3:$AD$28, 4, 0)), "", VLOOKUP( APIF_Import!$C67, INDIRECT( "Lookup_" &amp; APIF_Import!$M67:$O67), VLOOKUP( APIF_Import!$O67 &amp; APIF_Import!$K$1,Podesavanja!$AA$3:$AD$28, 4, 0), 0))</f>
        <v/>
      </c>
      <c r="L67" s="230" t="str">
        <f ca="1">IF( ISNA( VLOOKUP( APIF_Import!$O67 &amp; APIF_Import!$L$1,Podesavanja!$AA$3:$AD$28, 4, 0)), "", VLOOKUP( APIF_Import!$C67, INDIRECT( "Lookup_" &amp; APIF_Import!$M67:$O67), VLOOKUP( APIF_Import!$O67 &amp; APIF_Import!$L$1,Podesavanja!$AA$3:$AD$28, 4, 0), 0))</f>
        <v/>
      </c>
      <c r="M67" s="230" t="str">
        <f ca="1">IF( ISNA( VLOOKUP( APIF_Import!$O67 &amp; APIF_Import!$M$1,Podesavanja!$AA$3:$AD$28, 4, 0)), "", VLOOKUP( APIF_Import!$C67, INDIRECT( "Lookup_" &amp; APIF_Import!$M67:$O67), VLOOKUP( APIF_Import!$O67 &amp; APIF_Import!$M$1,Podesavanja!$AA$3:$AD$28, 4, 0), 0))</f>
        <v/>
      </c>
      <c r="N67" s="8">
        <v>66</v>
      </c>
      <c r="O67" s="232" t="s">
        <v>2897</v>
      </c>
    </row>
    <row r="68" spans="2:15">
      <c r="B68" s="497">
        <f ca="1">VLOOKUP( APIF_Import!$O68, Podesavanja!$N$3:$Q$9, 4, 0)</f>
        <v>1</v>
      </c>
      <c r="C68" s="231">
        <f ca="1">VLOOKUP( APIF_Import!$N68, Aop!$A$2:$P$456, 4, 0)</f>
        <v>67</v>
      </c>
      <c r="D68" s="232" t="str">
        <f ca="1">IF( ISNA( VLOOKUP( APIF_Import!$O68 &amp; APIF_Import!$D$1,Podesavanja!$AA$3:$AD$28, 4, 0)), "", SUBSTITUTE( VALUE( VLOOKUP( APIF_Import!$C68, INDIRECT( "Lookup_" &amp; APIF_Import!$O68), VLOOKUP( APIF_Import!$O68 &amp; APIF_Import!$D$1,Podesavanja!$AA$3:$AD$28, 4, 0), 0)), ".", ","))</f>
        <v>14412988</v>
      </c>
      <c r="E68" s="230">
        <f ca="1">IF( ISNA( VLOOKUP( APIF_Import!$O68 &amp; APIF_Import!$E$1,Podesavanja!$AA$3:$AD$28, 4, 0)), "", VLOOKUP( APIF_Import!$C68, INDIRECT( "Lookup_" &amp; APIF_Import!$O68), VLOOKUP( APIF_Import!$O68 &amp; APIF_Import!$E$1,Podesavanja!$AA$3:$AD$28, 4, 0), 0))</f>
        <v>0</v>
      </c>
      <c r="F68" s="232">
        <f ca="1">IF( ISNA( VLOOKUP( APIF_Import!$O68 &amp; APIF_Import!$F$1,Podesavanja!$AA$3:$AD$28, 4, 0)), "", VLOOKUP( APIF_Import!$C68, INDIRECT( "Lookup_" &amp; APIF_Import!$O68), VLOOKUP( APIF_Import!$O68 &amp; APIF_Import!$F$1,Podesavanja!$AA$3:$AD$28, 4, 0), 0))</f>
        <v>14412988</v>
      </c>
      <c r="G68" s="232">
        <f ca="1">IF( ISNA( VLOOKUP( APIF_Import!$O68 &amp; APIF_Import!$G$1,Podesavanja!$AA$3:$AD$28, 4, 0)), "", VLOOKUP( APIF_Import!$C68, INDIRECT( "Lookup_" &amp; APIF_Import!$O68), VLOOKUP( APIF_Import!$O68 &amp; APIF_Import!$G$1,Podesavanja!$AA$3:$AD$28, 4, 0), 0))</f>
        <v>14412988</v>
      </c>
      <c r="H68" s="232" t="str">
        <f ca="1">IF( ISNA( VLOOKUP( APIF_Import!$O68 &amp; APIF_Import!$H$1,Podesavanja!$AA$3:$AD$28, 4, 0)), "", VLOOKUP( APIF_Import!$C68, INDIRECT( "Lookup_" &amp; APIF_Import!$O68), VLOOKUP( APIF_Import!$O68 &amp; APIF_Import!$H$1,Podesavanja!$AA$3:$AD$28, 4, 0), 0))</f>
        <v/>
      </c>
      <c r="I68" s="230" t="str">
        <f ca="1">IF( ISNA( VLOOKUP( APIF_Import!$O68 &amp; APIF_Import!$I$1,Podesavanja!$AA$3:$AD$28, 4, 0)), "", VLOOKUP( APIF_Import!$C68, INDIRECT( "Lookup_" &amp; APIF_Import!$M68:$O68), VLOOKUP( APIF_Import!$O68 &amp; APIF_Import!$I$1,Podesavanja!$AA$3:$AD$28, 4, 0), 0))</f>
        <v/>
      </c>
      <c r="J68" s="230" t="str">
        <f ca="1">IF( ISNA( VLOOKUP( APIF_Import!$O68 &amp; APIF_Import!$J$1,Podesavanja!$AA$3:$AD$28, 4, 0)), "", VLOOKUP( APIF_Import!$C68, INDIRECT( "Lookup_" &amp; APIF_Import!$M68:$O68), VLOOKUP( APIF_Import!$O68 &amp; APIF_Import!$J$1,Podesavanja!$AA$3:$AD$28, 4, 0), 0))</f>
        <v/>
      </c>
      <c r="K68" s="230" t="str">
        <f ca="1">IF( ISNA( VLOOKUP( APIF_Import!$O68 &amp; APIF_Import!$K$1,Podesavanja!$AA$3:$AD$28, 4, 0)), "", VLOOKUP( APIF_Import!$C68, INDIRECT( "Lookup_" &amp; APIF_Import!$M68:$O68), VLOOKUP( APIF_Import!$O68 &amp; APIF_Import!$K$1,Podesavanja!$AA$3:$AD$28, 4, 0), 0))</f>
        <v/>
      </c>
      <c r="L68" s="230" t="str">
        <f ca="1">IF( ISNA( VLOOKUP( APIF_Import!$O68 &amp; APIF_Import!$L$1,Podesavanja!$AA$3:$AD$28, 4, 0)), "", VLOOKUP( APIF_Import!$C68, INDIRECT( "Lookup_" &amp; APIF_Import!$M68:$O68), VLOOKUP( APIF_Import!$O68 &amp; APIF_Import!$L$1,Podesavanja!$AA$3:$AD$28, 4, 0), 0))</f>
        <v/>
      </c>
      <c r="M68" s="230" t="str">
        <f ca="1">IF( ISNA( VLOOKUP( APIF_Import!$O68 &amp; APIF_Import!$M$1,Podesavanja!$AA$3:$AD$28, 4, 0)), "", VLOOKUP( APIF_Import!$C68, INDIRECT( "Lookup_" &amp; APIF_Import!$M68:$O68), VLOOKUP( APIF_Import!$O68 &amp; APIF_Import!$M$1,Podesavanja!$AA$3:$AD$28, 4, 0), 0))</f>
        <v/>
      </c>
      <c r="N68" s="8">
        <v>67</v>
      </c>
      <c r="O68" s="232" t="s">
        <v>2897</v>
      </c>
    </row>
    <row r="69" spans="2:15">
      <c r="B69" s="44">
        <f ca="1">VLOOKUP( APIF_Import!$O69, Podesavanja!$N$3:$Q$9, 4, 0)</f>
        <v>2</v>
      </c>
      <c r="C69" s="229">
        <f ca="1">VLOOKUP( APIF_Import!$N69, Aop!$A$2:$P$456, 4, 0)</f>
        <v>101</v>
      </c>
      <c r="D69" s="230" t="str">
        <f ca="1">IF( ISNA( VLOOKUP( APIF_Import!$O69 &amp; APIF_Import!$D$1,Podesavanja!$AA$3:$AD$28, 4, 0)), "", SUBSTITUTE( VALUE( VLOOKUP( APIF_Import!$C69, INDIRECT( "Lookup_" &amp; APIF_Import!$O69), VLOOKUP( APIF_Import!$O69 &amp; APIF_Import!$D$1,Podesavanja!$AA$3:$AD$28, 4, 0), 0)), ".", ","))</f>
        <v>71445915</v>
      </c>
      <c r="E69" s="230">
        <f ca="1">IF( ISNA( VLOOKUP( APIF_Import!$O69 &amp; APIF_Import!$E$1,Podesavanja!$AA$3:$AD$28, 4, 0)), "", VLOOKUP( APIF_Import!$C69, INDIRECT( "Lookup_" &amp; APIF_Import!$O69), VLOOKUP( APIF_Import!$O69 &amp; APIF_Import!$E$1,Podesavanja!$AA$3:$AD$28, 4, 0), 0))</f>
        <v>85401999</v>
      </c>
      <c r="F69" s="230" t="str">
        <f ca="1">IF( ISNA( VLOOKUP( APIF_Import!$O69 &amp; APIF_Import!$F$1,Podesavanja!$AA$3:$AD$28, 4, 0)), "", VLOOKUP( APIF_Import!$C69, INDIRECT( "Lookup_" &amp; APIF_Import!$O69), VLOOKUP( APIF_Import!$O69 &amp; APIF_Import!$F$1,Podesavanja!$AA$3:$AD$28, 4, 0), 0))</f>
        <v/>
      </c>
      <c r="G69" s="230" t="str">
        <f ca="1">IF( ISNA( VLOOKUP( APIF_Import!$O69 &amp; APIF_Import!$G$1,Podesavanja!$AA$3:$AD$28, 4, 0)), "", VLOOKUP( APIF_Import!$C69, INDIRECT( "Lookup_" &amp; APIF_Import!$O69), VLOOKUP( APIF_Import!$O69 &amp; APIF_Import!$G$1,Podesavanja!$AA$3:$AD$28, 4, 0), 0))</f>
        <v/>
      </c>
      <c r="H69" s="230" t="str">
        <f ca="1">IF( ISNA( VLOOKUP( APIF_Import!$O69 &amp; APIF_Import!$H$1,Podesavanja!$AA$3:$AD$28, 4, 0)), "", VLOOKUP( APIF_Import!$C69, INDIRECT( "Lookup_" &amp; APIF_Import!$O69), VLOOKUP( APIF_Import!$O69 &amp; APIF_Import!$H$1,Podesavanja!$AA$3:$AD$28, 4, 0), 0))</f>
        <v/>
      </c>
      <c r="I69" s="230" t="str">
        <f ca="1">IF( ISNA( VLOOKUP( APIF_Import!$O69 &amp; APIF_Import!$I$1,Podesavanja!$AA$3:$AD$28, 4, 0)), "", VLOOKUP( APIF_Import!$C69, INDIRECT( "Lookup_" &amp; APIF_Import!$M69:$O69), VLOOKUP( APIF_Import!$O69 &amp; APIF_Import!$I$1,Podesavanja!$AA$3:$AD$28, 4, 0), 0))</f>
        <v/>
      </c>
      <c r="J69" s="230" t="str">
        <f ca="1">IF( ISNA( VLOOKUP( APIF_Import!$O69 &amp; APIF_Import!$J$1,Podesavanja!$AA$3:$AD$28, 4, 0)), "", VLOOKUP( APIF_Import!$C69, INDIRECT( "Lookup_" &amp; APIF_Import!$M69:$O69), VLOOKUP( APIF_Import!$O69 &amp; APIF_Import!$J$1,Podesavanja!$AA$3:$AD$28, 4, 0), 0))</f>
        <v/>
      </c>
      <c r="K69" s="230" t="str">
        <f ca="1">IF( ISNA( VLOOKUP( APIF_Import!$O69 &amp; APIF_Import!$K$1,Podesavanja!$AA$3:$AD$28, 4, 0)), "", VLOOKUP( APIF_Import!$C69, INDIRECT( "Lookup_" &amp; APIF_Import!$M69:$O69), VLOOKUP( APIF_Import!$O69 &amp; APIF_Import!$K$1,Podesavanja!$AA$3:$AD$28, 4, 0), 0))</f>
        <v/>
      </c>
      <c r="L69" s="230" t="str">
        <f ca="1">IF( ISNA( VLOOKUP( APIF_Import!$O69 &amp; APIF_Import!$L$1,Podesavanja!$AA$3:$AD$28, 4, 0)), "", VLOOKUP( APIF_Import!$C69, INDIRECT( "Lookup_" &amp; APIF_Import!$M69:$O69), VLOOKUP( APIF_Import!$O69 &amp; APIF_Import!$L$1,Podesavanja!$AA$3:$AD$28, 4, 0), 0))</f>
        <v/>
      </c>
      <c r="M69" s="230" t="str">
        <f ca="1">IF( ISNA( VLOOKUP( APIF_Import!$O69 &amp; APIF_Import!$M$1,Podesavanja!$AA$3:$AD$28, 4, 0)), "", VLOOKUP( APIF_Import!$C69, INDIRECT( "Lookup_" &amp; APIF_Import!$M69:$O69), VLOOKUP( APIF_Import!$O69 &amp; APIF_Import!$M$1,Podesavanja!$AA$3:$AD$28, 4, 0), 0))</f>
        <v/>
      </c>
      <c r="N69" s="8">
        <v>68</v>
      </c>
      <c r="O69" s="230" t="s">
        <v>2896</v>
      </c>
    </row>
    <row r="70" spans="2:15">
      <c r="B70" s="44">
        <f ca="1">VLOOKUP( APIF_Import!$O70, Podesavanja!$N$3:$Q$9, 4, 0)</f>
        <v>2</v>
      </c>
      <c r="C70" s="229">
        <f ca="1">VLOOKUP( APIF_Import!$N70, Aop!$A$2:$P$456, 4, 0)</f>
        <v>102</v>
      </c>
      <c r="D70" s="230" t="str">
        <f ca="1">IF( ISNA( VLOOKUP( APIF_Import!$O70 &amp; APIF_Import!$D$1,Podesavanja!$AA$3:$AD$28, 4, 0)), "", SUBSTITUTE( VALUE( VLOOKUP( APIF_Import!$C70, INDIRECT( "Lookup_" &amp; APIF_Import!$O70), VLOOKUP( APIF_Import!$O70 &amp; APIF_Import!$D$1,Podesavanja!$AA$3:$AD$28, 4, 0), 0)), ".", ","))</f>
        <v>50777428</v>
      </c>
      <c r="E70" s="230">
        <f ca="1">IF( ISNA( VLOOKUP( APIF_Import!$O70 &amp; APIF_Import!$E$1,Podesavanja!$AA$3:$AD$28, 4, 0)), "", VLOOKUP( APIF_Import!$C70, INDIRECT( "Lookup_" &amp; APIF_Import!$O70), VLOOKUP( APIF_Import!$O70 &amp; APIF_Import!$E$1,Podesavanja!$AA$3:$AD$28, 4, 0), 0))</f>
        <v>50777428</v>
      </c>
      <c r="F70" s="230" t="str">
        <f ca="1">IF( ISNA( VLOOKUP( APIF_Import!$O70 &amp; APIF_Import!$F$1,Podesavanja!$AA$3:$AD$28, 4, 0)), "", VLOOKUP( APIF_Import!$C70, INDIRECT( "Lookup_" &amp; APIF_Import!$O70), VLOOKUP( APIF_Import!$O70 &amp; APIF_Import!$F$1,Podesavanja!$AA$3:$AD$28, 4, 0), 0))</f>
        <v/>
      </c>
      <c r="G70" s="230" t="str">
        <f ca="1">IF( ISNA( VLOOKUP( APIF_Import!$O70 &amp; APIF_Import!$G$1,Podesavanja!$AA$3:$AD$28, 4, 0)), "", VLOOKUP( APIF_Import!$C70, INDIRECT( "Lookup_" &amp; APIF_Import!$O70), VLOOKUP( APIF_Import!$O70 &amp; APIF_Import!$G$1,Podesavanja!$AA$3:$AD$28, 4, 0), 0))</f>
        <v/>
      </c>
      <c r="H70" s="230" t="str">
        <f ca="1">IF( ISNA( VLOOKUP( APIF_Import!$O70 &amp; APIF_Import!$H$1,Podesavanja!$AA$3:$AD$28, 4, 0)), "", VLOOKUP( APIF_Import!$C70, INDIRECT( "Lookup_" &amp; APIF_Import!$O70), VLOOKUP( APIF_Import!$O70 &amp; APIF_Import!$H$1,Podesavanja!$AA$3:$AD$28, 4, 0), 0))</f>
        <v/>
      </c>
      <c r="I70" s="230" t="str">
        <f ca="1">IF( ISNA( VLOOKUP( APIF_Import!$O70 &amp; APIF_Import!$I$1,Podesavanja!$AA$3:$AD$28, 4, 0)), "", VLOOKUP( APIF_Import!$C70, INDIRECT( "Lookup_" &amp; APIF_Import!$M70:$O70), VLOOKUP( APIF_Import!$O70 &amp; APIF_Import!$I$1,Podesavanja!$AA$3:$AD$28, 4, 0), 0))</f>
        <v/>
      </c>
      <c r="J70" s="230" t="str">
        <f ca="1">IF( ISNA( VLOOKUP( APIF_Import!$O70 &amp; APIF_Import!$J$1,Podesavanja!$AA$3:$AD$28, 4, 0)), "", VLOOKUP( APIF_Import!$C70, INDIRECT( "Lookup_" &amp; APIF_Import!$M70:$O70), VLOOKUP( APIF_Import!$O70 &amp; APIF_Import!$J$1,Podesavanja!$AA$3:$AD$28, 4, 0), 0))</f>
        <v/>
      </c>
      <c r="K70" s="230" t="str">
        <f ca="1">IF( ISNA( VLOOKUP( APIF_Import!$O70 &amp; APIF_Import!$K$1,Podesavanja!$AA$3:$AD$28, 4, 0)), "", VLOOKUP( APIF_Import!$C70, INDIRECT( "Lookup_" &amp; APIF_Import!$M70:$O70), VLOOKUP( APIF_Import!$O70 &amp; APIF_Import!$K$1,Podesavanja!$AA$3:$AD$28, 4, 0), 0))</f>
        <v/>
      </c>
      <c r="L70" s="230" t="str">
        <f ca="1">IF( ISNA( VLOOKUP( APIF_Import!$O70 &amp; APIF_Import!$L$1,Podesavanja!$AA$3:$AD$28, 4, 0)), "", VLOOKUP( APIF_Import!$C70, INDIRECT( "Lookup_" &amp; APIF_Import!$M70:$O70), VLOOKUP( APIF_Import!$O70 &amp; APIF_Import!$L$1,Podesavanja!$AA$3:$AD$28, 4, 0), 0))</f>
        <v/>
      </c>
      <c r="M70" s="230" t="str">
        <f ca="1">IF( ISNA( VLOOKUP( APIF_Import!$O70 &amp; APIF_Import!$M$1,Podesavanja!$AA$3:$AD$28, 4, 0)), "", VLOOKUP( APIF_Import!$C70, INDIRECT( "Lookup_" &amp; APIF_Import!$M70:$O70), VLOOKUP( APIF_Import!$O70 &amp; APIF_Import!$M$1,Podesavanja!$AA$3:$AD$28, 4, 0), 0))</f>
        <v/>
      </c>
      <c r="N70" s="8">
        <v>69</v>
      </c>
      <c r="O70" s="230" t="s">
        <v>2896</v>
      </c>
    </row>
    <row r="71" spans="2:15">
      <c r="B71" s="44">
        <f ca="1">VLOOKUP( APIF_Import!$O71, Podesavanja!$N$3:$Q$9, 4, 0)</f>
        <v>2</v>
      </c>
      <c r="C71" s="229">
        <f ca="1">VLOOKUP( APIF_Import!$N71, Aop!$A$2:$P$456, 4, 0)</f>
        <v>103</v>
      </c>
      <c r="D71" s="230" t="str">
        <f ca="1">IF( ISNA( VLOOKUP( APIF_Import!$O71 &amp; APIF_Import!$D$1,Podesavanja!$AA$3:$AD$28, 4, 0)), "", SUBSTITUTE( VALUE( VLOOKUP( APIF_Import!$C71, INDIRECT( "Lookup_" &amp; APIF_Import!$O71), VLOOKUP( APIF_Import!$O71 &amp; APIF_Import!$D$1,Podesavanja!$AA$3:$AD$28, 4, 0), 0)), ".", ","))</f>
        <v>50777428</v>
      </c>
      <c r="E71" s="230">
        <f ca="1">IF( ISNA( VLOOKUP( APIF_Import!$O71 &amp; APIF_Import!$E$1,Podesavanja!$AA$3:$AD$28, 4, 0)), "", VLOOKUP( APIF_Import!$C71, INDIRECT( "Lookup_" &amp; APIF_Import!$O71), VLOOKUP( APIF_Import!$O71 &amp; APIF_Import!$E$1,Podesavanja!$AA$3:$AD$28, 4, 0), 0))</f>
        <v>50777428</v>
      </c>
      <c r="F71" s="230" t="str">
        <f ca="1">IF( ISNA( VLOOKUP( APIF_Import!$O71 &amp; APIF_Import!$F$1,Podesavanja!$AA$3:$AD$28, 4, 0)), "", VLOOKUP( APIF_Import!$C71, INDIRECT( "Lookup_" &amp; APIF_Import!$O71), VLOOKUP( APIF_Import!$O71 &amp; APIF_Import!$F$1,Podesavanja!$AA$3:$AD$28, 4, 0), 0))</f>
        <v/>
      </c>
      <c r="G71" s="230" t="str">
        <f ca="1">IF( ISNA( VLOOKUP( APIF_Import!$O71 &amp; APIF_Import!$G$1,Podesavanja!$AA$3:$AD$28, 4, 0)), "", VLOOKUP( APIF_Import!$C71, INDIRECT( "Lookup_" &amp; APIF_Import!$O71), VLOOKUP( APIF_Import!$O71 &amp; APIF_Import!$G$1,Podesavanja!$AA$3:$AD$28, 4, 0), 0))</f>
        <v/>
      </c>
      <c r="H71" s="230" t="str">
        <f ca="1">IF( ISNA( VLOOKUP( APIF_Import!$O71 &amp; APIF_Import!$H$1,Podesavanja!$AA$3:$AD$28, 4, 0)), "", VLOOKUP( APIF_Import!$C71, INDIRECT( "Lookup_" &amp; APIF_Import!$O71), VLOOKUP( APIF_Import!$O71 &amp; APIF_Import!$H$1,Podesavanja!$AA$3:$AD$28, 4, 0), 0))</f>
        <v/>
      </c>
      <c r="I71" s="230" t="str">
        <f ca="1">IF( ISNA( VLOOKUP( APIF_Import!$O71 &amp; APIF_Import!$I$1,Podesavanja!$AA$3:$AD$28, 4, 0)), "", VLOOKUP( APIF_Import!$C71, INDIRECT( "Lookup_" &amp; APIF_Import!$M71:$O71), VLOOKUP( APIF_Import!$O71 &amp; APIF_Import!$I$1,Podesavanja!$AA$3:$AD$28, 4, 0), 0))</f>
        <v/>
      </c>
      <c r="J71" s="230" t="str">
        <f ca="1">IF( ISNA( VLOOKUP( APIF_Import!$O71 &amp; APIF_Import!$J$1,Podesavanja!$AA$3:$AD$28, 4, 0)), "", VLOOKUP( APIF_Import!$C71, INDIRECT( "Lookup_" &amp; APIF_Import!$M71:$O71), VLOOKUP( APIF_Import!$O71 &amp; APIF_Import!$J$1,Podesavanja!$AA$3:$AD$28, 4, 0), 0))</f>
        <v/>
      </c>
      <c r="K71" s="230" t="str">
        <f ca="1">IF( ISNA( VLOOKUP( APIF_Import!$O71 &amp; APIF_Import!$K$1,Podesavanja!$AA$3:$AD$28, 4, 0)), "", VLOOKUP( APIF_Import!$C71, INDIRECT( "Lookup_" &amp; APIF_Import!$M71:$O71), VLOOKUP( APIF_Import!$O71 &amp; APIF_Import!$K$1,Podesavanja!$AA$3:$AD$28, 4, 0), 0))</f>
        <v/>
      </c>
      <c r="L71" s="230" t="str">
        <f ca="1">IF( ISNA( VLOOKUP( APIF_Import!$O71 &amp; APIF_Import!$L$1,Podesavanja!$AA$3:$AD$28, 4, 0)), "", VLOOKUP( APIF_Import!$C71, INDIRECT( "Lookup_" &amp; APIF_Import!$M71:$O71), VLOOKUP( APIF_Import!$O71 &amp; APIF_Import!$L$1,Podesavanja!$AA$3:$AD$28, 4, 0), 0))</f>
        <v/>
      </c>
      <c r="M71" s="230" t="str">
        <f ca="1">IF( ISNA( VLOOKUP( APIF_Import!$O71 &amp; APIF_Import!$M$1,Podesavanja!$AA$3:$AD$28, 4, 0)), "", VLOOKUP( APIF_Import!$C71, INDIRECT( "Lookup_" &amp; APIF_Import!$M71:$O71), VLOOKUP( APIF_Import!$O71 &amp; APIF_Import!$M$1,Podesavanja!$AA$3:$AD$28, 4, 0), 0))</f>
        <v/>
      </c>
      <c r="N71" s="8">
        <v>70</v>
      </c>
      <c r="O71" s="230" t="s">
        <v>2896</v>
      </c>
    </row>
    <row r="72" spans="2:15">
      <c r="B72" s="44">
        <f ca="1">VLOOKUP( APIF_Import!$O72, Podesavanja!$N$3:$Q$9, 4, 0)</f>
        <v>2</v>
      </c>
      <c r="C72" s="229">
        <f ca="1">VLOOKUP( APIF_Import!$N72, Aop!$A$2:$P$456, 4, 0)</f>
        <v>104</v>
      </c>
      <c r="D72" s="230" t="str">
        <f ca="1">IF( ISNA( VLOOKUP( APIF_Import!$O72 &amp; APIF_Import!$D$1,Podesavanja!$AA$3:$AD$28, 4, 0)), "", SUBSTITUTE( VALUE( VLOOKUP( APIF_Import!$C72, INDIRECT( "Lookup_" &amp; APIF_Import!$O72), VLOOKUP( APIF_Import!$O72 &amp; APIF_Import!$D$1,Podesavanja!$AA$3:$AD$28, 4, 0), 0)), ".", ","))</f>
        <v>50777428</v>
      </c>
      <c r="E72" s="230">
        <f ca="1">IF( ISNA( VLOOKUP( APIF_Import!$O72 &amp; APIF_Import!$E$1,Podesavanja!$AA$3:$AD$28, 4, 0)), "", VLOOKUP( APIF_Import!$C72, INDIRECT( "Lookup_" &amp; APIF_Import!$O72), VLOOKUP( APIF_Import!$O72 &amp; APIF_Import!$E$1,Podesavanja!$AA$3:$AD$28, 4, 0), 0))</f>
        <v>50777428</v>
      </c>
      <c r="F72" s="230" t="str">
        <f ca="1">IF( ISNA( VLOOKUP( APIF_Import!$O72 &amp; APIF_Import!$F$1,Podesavanja!$AA$3:$AD$28, 4, 0)), "", VLOOKUP( APIF_Import!$C72, INDIRECT( "Lookup_" &amp; APIF_Import!$O72), VLOOKUP( APIF_Import!$O72 &amp; APIF_Import!$F$1,Podesavanja!$AA$3:$AD$28, 4, 0), 0))</f>
        <v/>
      </c>
      <c r="G72" s="230" t="str">
        <f ca="1">IF( ISNA( VLOOKUP( APIF_Import!$O72 &amp; APIF_Import!$G$1,Podesavanja!$AA$3:$AD$28, 4, 0)), "", VLOOKUP( APIF_Import!$C72, INDIRECT( "Lookup_" &amp; APIF_Import!$O72), VLOOKUP( APIF_Import!$O72 &amp; APIF_Import!$G$1,Podesavanja!$AA$3:$AD$28, 4, 0), 0))</f>
        <v/>
      </c>
      <c r="H72" s="230" t="str">
        <f ca="1">IF( ISNA( VLOOKUP( APIF_Import!$O72 &amp; APIF_Import!$H$1,Podesavanja!$AA$3:$AD$28, 4, 0)), "", VLOOKUP( APIF_Import!$C72, INDIRECT( "Lookup_" &amp; APIF_Import!$O72), VLOOKUP( APIF_Import!$O72 &amp; APIF_Import!$H$1,Podesavanja!$AA$3:$AD$28, 4, 0), 0))</f>
        <v/>
      </c>
      <c r="I72" s="230" t="str">
        <f ca="1">IF( ISNA( VLOOKUP( APIF_Import!$O72 &amp; APIF_Import!$I$1,Podesavanja!$AA$3:$AD$28, 4, 0)), "", VLOOKUP( APIF_Import!$C72, INDIRECT( "Lookup_" &amp; APIF_Import!$M72:$O72), VLOOKUP( APIF_Import!$O72 &amp; APIF_Import!$I$1,Podesavanja!$AA$3:$AD$28, 4, 0), 0))</f>
        <v/>
      </c>
      <c r="J72" s="230" t="str">
        <f ca="1">IF( ISNA( VLOOKUP( APIF_Import!$O72 &amp; APIF_Import!$J$1,Podesavanja!$AA$3:$AD$28, 4, 0)), "", VLOOKUP( APIF_Import!$C72, INDIRECT( "Lookup_" &amp; APIF_Import!$M72:$O72), VLOOKUP( APIF_Import!$O72 &amp; APIF_Import!$J$1,Podesavanja!$AA$3:$AD$28, 4, 0), 0))</f>
        <v/>
      </c>
      <c r="K72" s="230" t="str">
        <f ca="1">IF( ISNA( VLOOKUP( APIF_Import!$O72 &amp; APIF_Import!$K$1,Podesavanja!$AA$3:$AD$28, 4, 0)), "", VLOOKUP( APIF_Import!$C72, INDIRECT( "Lookup_" &amp; APIF_Import!$M72:$O72), VLOOKUP( APIF_Import!$O72 &amp; APIF_Import!$K$1,Podesavanja!$AA$3:$AD$28, 4, 0), 0))</f>
        <v/>
      </c>
      <c r="L72" s="230" t="str">
        <f ca="1">IF( ISNA( VLOOKUP( APIF_Import!$O72 &amp; APIF_Import!$L$1,Podesavanja!$AA$3:$AD$28, 4, 0)), "", VLOOKUP( APIF_Import!$C72, INDIRECT( "Lookup_" &amp; APIF_Import!$M72:$O72), VLOOKUP( APIF_Import!$O72 &amp; APIF_Import!$L$1,Podesavanja!$AA$3:$AD$28, 4, 0), 0))</f>
        <v/>
      </c>
      <c r="M72" s="230" t="str">
        <f ca="1">IF( ISNA( VLOOKUP( APIF_Import!$O72 &amp; APIF_Import!$M$1,Podesavanja!$AA$3:$AD$28, 4, 0)), "", VLOOKUP( APIF_Import!$C72, INDIRECT( "Lookup_" &amp; APIF_Import!$M72:$O72), VLOOKUP( APIF_Import!$O72 &amp; APIF_Import!$M$1,Podesavanja!$AA$3:$AD$28, 4, 0), 0))</f>
        <v/>
      </c>
      <c r="N72" s="8">
        <v>71</v>
      </c>
      <c r="O72" s="230" t="s">
        <v>2896</v>
      </c>
    </row>
    <row r="73" spans="2:15">
      <c r="B73" s="44">
        <f ca="1">VLOOKUP( APIF_Import!$O73, Podesavanja!$N$3:$Q$9, 4, 0)</f>
        <v>2</v>
      </c>
      <c r="C73" s="229">
        <f ca="1">VLOOKUP( APIF_Import!$N73, Aop!$A$2:$P$456, 4, 0)</f>
        <v>105</v>
      </c>
      <c r="D73" s="230" t="str">
        <f ca="1">IF( ISNA( VLOOKUP( APIF_Import!$O73 &amp; APIF_Import!$D$1,Podesavanja!$AA$3:$AD$28, 4, 0)), "", SUBSTITUTE( VALUE( VLOOKUP( APIF_Import!$C73, INDIRECT( "Lookup_" &amp; APIF_Import!$O73), VLOOKUP( APIF_Import!$O73 &amp; APIF_Import!$D$1,Podesavanja!$AA$3:$AD$28, 4, 0), 0)), ".", ","))</f>
        <v>0</v>
      </c>
      <c r="E73" s="230">
        <f ca="1">IF( ISNA( VLOOKUP( APIF_Import!$O73 &amp; APIF_Import!$E$1,Podesavanja!$AA$3:$AD$28, 4, 0)), "", VLOOKUP( APIF_Import!$C73, INDIRECT( "Lookup_" &amp; APIF_Import!$O73), VLOOKUP( APIF_Import!$O73 &amp; APIF_Import!$E$1,Podesavanja!$AA$3:$AD$28, 4, 0), 0))</f>
        <v>0</v>
      </c>
      <c r="F73" s="230" t="str">
        <f ca="1">IF( ISNA( VLOOKUP( APIF_Import!$O73 &amp; APIF_Import!$F$1,Podesavanja!$AA$3:$AD$28, 4, 0)), "", VLOOKUP( APIF_Import!$C73, INDIRECT( "Lookup_" &amp; APIF_Import!$O73), VLOOKUP( APIF_Import!$O73 &amp; APIF_Import!$F$1,Podesavanja!$AA$3:$AD$28, 4, 0), 0))</f>
        <v/>
      </c>
      <c r="G73" s="230" t="str">
        <f ca="1">IF( ISNA( VLOOKUP( APIF_Import!$O73 &amp; APIF_Import!$G$1,Podesavanja!$AA$3:$AD$28, 4, 0)), "", VLOOKUP( APIF_Import!$C73, INDIRECT( "Lookup_" &amp; APIF_Import!$O73), VLOOKUP( APIF_Import!$O73 &amp; APIF_Import!$G$1,Podesavanja!$AA$3:$AD$28, 4, 0), 0))</f>
        <v/>
      </c>
      <c r="H73" s="230" t="str">
        <f ca="1">IF( ISNA( VLOOKUP( APIF_Import!$O73 &amp; APIF_Import!$H$1,Podesavanja!$AA$3:$AD$28, 4, 0)), "", VLOOKUP( APIF_Import!$C73, INDIRECT( "Lookup_" &amp; APIF_Import!$O73), VLOOKUP( APIF_Import!$O73 &amp; APIF_Import!$H$1,Podesavanja!$AA$3:$AD$28, 4, 0), 0))</f>
        <v/>
      </c>
      <c r="I73" s="230" t="str">
        <f ca="1">IF( ISNA( VLOOKUP( APIF_Import!$O73 &amp; APIF_Import!$I$1,Podesavanja!$AA$3:$AD$28, 4, 0)), "", VLOOKUP( APIF_Import!$C73, INDIRECT( "Lookup_" &amp; APIF_Import!$M73:$O73), VLOOKUP( APIF_Import!$O73 &amp; APIF_Import!$I$1,Podesavanja!$AA$3:$AD$28, 4, 0), 0))</f>
        <v/>
      </c>
      <c r="J73" s="230" t="str">
        <f ca="1">IF( ISNA( VLOOKUP( APIF_Import!$O73 &amp; APIF_Import!$J$1,Podesavanja!$AA$3:$AD$28, 4, 0)), "", VLOOKUP( APIF_Import!$C73, INDIRECT( "Lookup_" &amp; APIF_Import!$M73:$O73), VLOOKUP( APIF_Import!$O73 &amp; APIF_Import!$J$1,Podesavanja!$AA$3:$AD$28, 4, 0), 0))</f>
        <v/>
      </c>
      <c r="K73" s="230" t="str">
        <f ca="1">IF( ISNA( VLOOKUP( APIF_Import!$O73 &amp; APIF_Import!$K$1,Podesavanja!$AA$3:$AD$28, 4, 0)), "", VLOOKUP( APIF_Import!$C73, INDIRECT( "Lookup_" &amp; APIF_Import!$M73:$O73), VLOOKUP( APIF_Import!$O73 &amp; APIF_Import!$K$1,Podesavanja!$AA$3:$AD$28, 4, 0), 0))</f>
        <v/>
      </c>
      <c r="L73" s="230" t="str">
        <f ca="1">IF( ISNA( VLOOKUP( APIF_Import!$O73 &amp; APIF_Import!$L$1,Podesavanja!$AA$3:$AD$28, 4, 0)), "", VLOOKUP( APIF_Import!$C73, INDIRECT( "Lookup_" &amp; APIF_Import!$M73:$O73), VLOOKUP( APIF_Import!$O73 &amp; APIF_Import!$L$1,Podesavanja!$AA$3:$AD$28, 4, 0), 0))</f>
        <v/>
      </c>
      <c r="M73" s="230" t="str">
        <f ca="1">IF( ISNA( VLOOKUP( APIF_Import!$O73 &amp; APIF_Import!$M$1,Podesavanja!$AA$3:$AD$28, 4, 0)), "", VLOOKUP( APIF_Import!$C73, INDIRECT( "Lookup_" &amp; APIF_Import!$M73:$O73), VLOOKUP( APIF_Import!$O73 &amp; APIF_Import!$M$1,Podesavanja!$AA$3:$AD$28, 4, 0), 0))</f>
        <v/>
      </c>
      <c r="N73" s="8">
        <v>72</v>
      </c>
      <c r="O73" s="230" t="s">
        <v>2896</v>
      </c>
    </row>
    <row r="74" spans="2:15">
      <c r="B74" s="44">
        <f ca="1">VLOOKUP( APIF_Import!$O74, Podesavanja!$N$3:$Q$9, 4, 0)</f>
        <v>2</v>
      </c>
      <c r="C74" s="229">
        <f ca="1">VLOOKUP( APIF_Import!$N74, Aop!$A$2:$P$456, 4, 0)</f>
        <v>106</v>
      </c>
      <c r="D74" s="230" t="str">
        <f ca="1">IF( ISNA( VLOOKUP( APIF_Import!$O74 &amp; APIF_Import!$D$1,Podesavanja!$AA$3:$AD$28, 4, 0)), "", SUBSTITUTE( VALUE( VLOOKUP( APIF_Import!$C74, INDIRECT( "Lookup_" &amp; APIF_Import!$O74), VLOOKUP( APIF_Import!$O74 &amp; APIF_Import!$D$1,Podesavanja!$AA$3:$AD$28, 4, 0), 0)), ".", ","))</f>
        <v>0</v>
      </c>
      <c r="E74" s="230">
        <f ca="1">IF( ISNA( VLOOKUP( APIF_Import!$O74 &amp; APIF_Import!$E$1,Podesavanja!$AA$3:$AD$28, 4, 0)), "", VLOOKUP( APIF_Import!$C74, INDIRECT( "Lookup_" &amp; APIF_Import!$O74), VLOOKUP( APIF_Import!$O74 &amp; APIF_Import!$E$1,Podesavanja!$AA$3:$AD$28, 4, 0), 0))</f>
        <v>0</v>
      </c>
      <c r="F74" s="230" t="str">
        <f ca="1">IF( ISNA( VLOOKUP( APIF_Import!$O74 &amp; APIF_Import!$F$1,Podesavanja!$AA$3:$AD$28, 4, 0)), "", VLOOKUP( APIF_Import!$C74, INDIRECT( "Lookup_" &amp; APIF_Import!$O74), VLOOKUP( APIF_Import!$O74 &amp; APIF_Import!$F$1,Podesavanja!$AA$3:$AD$28, 4, 0), 0))</f>
        <v/>
      </c>
      <c r="G74" s="230" t="str">
        <f ca="1">IF( ISNA( VLOOKUP( APIF_Import!$O74 &amp; APIF_Import!$G$1,Podesavanja!$AA$3:$AD$28, 4, 0)), "", VLOOKUP( APIF_Import!$C74, INDIRECT( "Lookup_" &amp; APIF_Import!$O74), VLOOKUP( APIF_Import!$O74 &amp; APIF_Import!$G$1,Podesavanja!$AA$3:$AD$28, 4, 0), 0))</f>
        <v/>
      </c>
      <c r="H74" s="230" t="str">
        <f ca="1">IF( ISNA( VLOOKUP( APIF_Import!$O74 &amp; APIF_Import!$H$1,Podesavanja!$AA$3:$AD$28, 4, 0)), "", VLOOKUP( APIF_Import!$C74, INDIRECT( "Lookup_" &amp; APIF_Import!$O74), VLOOKUP( APIF_Import!$O74 &amp; APIF_Import!$H$1,Podesavanja!$AA$3:$AD$28, 4, 0), 0))</f>
        <v/>
      </c>
      <c r="I74" s="230" t="str">
        <f ca="1">IF( ISNA( VLOOKUP( APIF_Import!$O74 &amp; APIF_Import!$I$1,Podesavanja!$AA$3:$AD$28, 4, 0)), "", VLOOKUP( APIF_Import!$C74, INDIRECT( "Lookup_" &amp; APIF_Import!$M74:$O74), VLOOKUP( APIF_Import!$O74 &amp; APIF_Import!$I$1,Podesavanja!$AA$3:$AD$28, 4, 0), 0))</f>
        <v/>
      </c>
      <c r="J74" s="230" t="str">
        <f ca="1">IF( ISNA( VLOOKUP( APIF_Import!$O74 &amp; APIF_Import!$J$1,Podesavanja!$AA$3:$AD$28, 4, 0)), "", VLOOKUP( APIF_Import!$C74, INDIRECT( "Lookup_" &amp; APIF_Import!$M74:$O74), VLOOKUP( APIF_Import!$O74 &amp; APIF_Import!$J$1,Podesavanja!$AA$3:$AD$28, 4, 0), 0))</f>
        <v/>
      </c>
      <c r="K74" s="230" t="str">
        <f ca="1">IF( ISNA( VLOOKUP( APIF_Import!$O74 &amp; APIF_Import!$K$1,Podesavanja!$AA$3:$AD$28, 4, 0)), "", VLOOKUP( APIF_Import!$C74, INDIRECT( "Lookup_" &amp; APIF_Import!$M74:$O74), VLOOKUP( APIF_Import!$O74 &amp; APIF_Import!$K$1,Podesavanja!$AA$3:$AD$28, 4, 0), 0))</f>
        <v/>
      </c>
      <c r="L74" s="230" t="str">
        <f ca="1">IF( ISNA( VLOOKUP( APIF_Import!$O74 &amp; APIF_Import!$L$1,Podesavanja!$AA$3:$AD$28, 4, 0)), "", VLOOKUP( APIF_Import!$C74, INDIRECT( "Lookup_" &amp; APIF_Import!$M74:$O74), VLOOKUP( APIF_Import!$O74 &amp; APIF_Import!$L$1,Podesavanja!$AA$3:$AD$28, 4, 0), 0))</f>
        <v/>
      </c>
      <c r="M74" s="230" t="str">
        <f ca="1">IF( ISNA( VLOOKUP( APIF_Import!$O74 &amp; APIF_Import!$M$1,Podesavanja!$AA$3:$AD$28, 4, 0)), "", VLOOKUP( APIF_Import!$C74, INDIRECT( "Lookup_" &amp; APIF_Import!$M74:$O74), VLOOKUP( APIF_Import!$O74 &amp; APIF_Import!$M$1,Podesavanja!$AA$3:$AD$28, 4, 0), 0))</f>
        <v/>
      </c>
      <c r="N74" s="8">
        <v>73</v>
      </c>
      <c r="O74" s="230" t="s">
        <v>2896</v>
      </c>
    </row>
    <row r="75" spans="2:15">
      <c r="B75" s="44">
        <f ca="1">VLOOKUP( APIF_Import!$O75, Podesavanja!$N$3:$Q$9, 4, 0)</f>
        <v>2</v>
      </c>
      <c r="C75" s="229">
        <f ca="1">VLOOKUP( APIF_Import!$N75, Aop!$A$2:$P$456, 4, 0)</f>
        <v>107</v>
      </c>
      <c r="D75" s="230" t="str">
        <f ca="1">IF( ISNA( VLOOKUP( APIF_Import!$O75 &amp; APIF_Import!$D$1,Podesavanja!$AA$3:$AD$28, 4, 0)), "", SUBSTITUTE( VALUE( VLOOKUP( APIF_Import!$C75, INDIRECT( "Lookup_" &amp; APIF_Import!$O75), VLOOKUP( APIF_Import!$O75 &amp; APIF_Import!$D$1,Podesavanja!$AA$3:$AD$28, 4, 0), 0)), ".", ","))</f>
        <v>0</v>
      </c>
      <c r="E75" s="230">
        <f ca="1">IF( ISNA( VLOOKUP( APIF_Import!$O75 &amp; APIF_Import!$E$1,Podesavanja!$AA$3:$AD$28, 4, 0)), "", VLOOKUP( APIF_Import!$C75, INDIRECT( "Lookup_" &amp; APIF_Import!$O75), VLOOKUP( APIF_Import!$O75 &amp; APIF_Import!$E$1,Podesavanja!$AA$3:$AD$28, 4, 0), 0))</f>
        <v>0</v>
      </c>
      <c r="F75" s="230" t="str">
        <f ca="1">IF( ISNA( VLOOKUP( APIF_Import!$O75 &amp; APIF_Import!$F$1,Podesavanja!$AA$3:$AD$28, 4, 0)), "", VLOOKUP( APIF_Import!$C75, INDIRECT( "Lookup_" &amp; APIF_Import!$O75), VLOOKUP( APIF_Import!$O75 &amp; APIF_Import!$F$1,Podesavanja!$AA$3:$AD$28, 4, 0), 0))</f>
        <v/>
      </c>
      <c r="G75" s="230" t="str">
        <f ca="1">IF( ISNA( VLOOKUP( APIF_Import!$O75 &amp; APIF_Import!$G$1,Podesavanja!$AA$3:$AD$28, 4, 0)), "", VLOOKUP( APIF_Import!$C75, INDIRECT( "Lookup_" &amp; APIF_Import!$O75), VLOOKUP( APIF_Import!$O75 &amp; APIF_Import!$G$1,Podesavanja!$AA$3:$AD$28, 4, 0), 0))</f>
        <v/>
      </c>
      <c r="H75" s="230" t="str">
        <f ca="1">IF( ISNA( VLOOKUP( APIF_Import!$O75 &amp; APIF_Import!$H$1,Podesavanja!$AA$3:$AD$28, 4, 0)), "", VLOOKUP( APIF_Import!$C75, INDIRECT( "Lookup_" &amp; APIF_Import!$O75), VLOOKUP( APIF_Import!$O75 &amp; APIF_Import!$H$1,Podesavanja!$AA$3:$AD$28, 4, 0), 0))</f>
        <v/>
      </c>
      <c r="I75" s="230" t="str">
        <f ca="1">IF( ISNA( VLOOKUP( APIF_Import!$O75 &amp; APIF_Import!$I$1,Podesavanja!$AA$3:$AD$28, 4, 0)), "", VLOOKUP( APIF_Import!$C75, INDIRECT( "Lookup_" &amp; APIF_Import!$M75:$O75), VLOOKUP( APIF_Import!$O75 &amp; APIF_Import!$I$1,Podesavanja!$AA$3:$AD$28, 4, 0), 0))</f>
        <v/>
      </c>
      <c r="J75" s="230" t="str">
        <f ca="1">IF( ISNA( VLOOKUP( APIF_Import!$O75 &amp; APIF_Import!$J$1,Podesavanja!$AA$3:$AD$28, 4, 0)), "", VLOOKUP( APIF_Import!$C75, INDIRECT( "Lookup_" &amp; APIF_Import!$M75:$O75), VLOOKUP( APIF_Import!$O75 &amp; APIF_Import!$J$1,Podesavanja!$AA$3:$AD$28, 4, 0), 0))</f>
        <v/>
      </c>
      <c r="K75" s="230" t="str">
        <f ca="1">IF( ISNA( VLOOKUP( APIF_Import!$O75 &amp; APIF_Import!$K$1,Podesavanja!$AA$3:$AD$28, 4, 0)), "", VLOOKUP( APIF_Import!$C75, INDIRECT( "Lookup_" &amp; APIF_Import!$M75:$O75), VLOOKUP( APIF_Import!$O75 &amp; APIF_Import!$K$1,Podesavanja!$AA$3:$AD$28, 4, 0), 0))</f>
        <v/>
      </c>
      <c r="L75" s="230" t="str">
        <f ca="1">IF( ISNA( VLOOKUP( APIF_Import!$O75 &amp; APIF_Import!$L$1,Podesavanja!$AA$3:$AD$28, 4, 0)), "", VLOOKUP( APIF_Import!$C75, INDIRECT( "Lookup_" &amp; APIF_Import!$M75:$O75), VLOOKUP( APIF_Import!$O75 &amp; APIF_Import!$L$1,Podesavanja!$AA$3:$AD$28, 4, 0), 0))</f>
        <v/>
      </c>
      <c r="M75" s="230" t="str">
        <f ca="1">IF( ISNA( VLOOKUP( APIF_Import!$O75 &amp; APIF_Import!$M$1,Podesavanja!$AA$3:$AD$28, 4, 0)), "", VLOOKUP( APIF_Import!$C75, INDIRECT( "Lookup_" &amp; APIF_Import!$M75:$O75), VLOOKUP( APIF_Import!$O75 &amp; APIF_Import!$M$1,Podesavanja!$AA$3:$AD$28, 4, 0), 0))</f>
        <v/>
      </c>
      <c r="N75" s="8">
        <v>74</v>
      </c>
      <c r="O75" s="230" t="s">
        <v>2896</v>
      </c>
    </row>
    <row r="76" spans="2:15">
      <c r="B76" s="44">
        <f ca="1">VLOOKUP( APIF_Import!$O76, Podesavanja!$N$3:$Q$9, 4, 0)</f>
        <v>2</v>
      </c>
      <c r="C76" s="229">
        <f ca="1">VLOOKUP( APIF_Import!$N76, Aop!$A$2:$P$456, 4, 0)</f>
        <v>108</v>
      </c>
      <c r="D76" s="230" t="str">
        <f ca="1">IF( ISNA( VLOOKUP( APIF_Import!$O76 &amp; APIF_Import!$D$1,Podesavanja!$AA$3:$AD$28, 4, 0)), "", SUBSTITUTE( VALUE( VLOOKUP( APIF_Import!$C76, INDIRECT( "Lookup_" &amp; APIF_Import!$O76), VLOOKUP( APIF_Import!$O76 &amp; APIF_Import!$D$1,Podesavanja!$AA$3:$AD$28, 4, 0), 0)), ".", ","))</f>
        <v>0</v>
      </c>
      <c r="E76" s="230">
        <f ca="1">IF( ISNA( VLOOKUP( APIF_Import!$O76 &amp; APIF_Import!$E$1,Podesavanja!$AA$3:$AD$28, 4, 0)), "", VLOOKUP( APIF_Import!$C76, INDIRECT( "Lookup_" &amp; APIF_Import!$O76), VLOOKUP( APIF_Import!$O76 &amp; APIF_Import!$E$1,Podesavanja!$AA$3:$AD$28, 4, 0), 0))</f>
        <v>0</v>
      </c>
      <c r="F76" s="230" t="str">
        <f ca="1">IF( ISNA( VLOOKUP( APIF_Import!$O76 &amp; APIF_Import!$F$1,Podesavanja!$AA$3:$AD$28, 4, 0)), "", VLOOKUP( APIF_Import!$C76, INDIRECT( "Lookup_" &amp; APIF_Import!$O76), VLOOKUP( APIF_Import!$O76 &amp; APIF_Import!$F$1,Podesavanja!$AA$3:$AD$28, 4, 0), 0))</f>
        <v/>
      </c>
      <c r="G76" s="230" t="str">
        <f ca="1">IF( ISNA( VLOOKUP( APIF_Import!$O76 &amp; APIF_Import!$G$1,Podesavanja!$AA$3:$AD$28, 4, 0)), "", VLOOKUP( APIF_Import!$C76, INDIRECT( "Lookup_" &amp; APIF_Import!$O76), VLOOKUP( APIF_Import!$O76 &amp; APIF_Import!$G$1,Podesavanja!$AA$3:$AD$28, 4, 0), 0))</f>
        <v/>
      </c>
      <c r="H76" s="230" t="str">
        <f ca="1">IF( ISNA( VLOOKUP( APIF_Import!$O76 &amp; APIF_Import!$H$1,Podesavanja!$AA$3:$AD$28, 4, 0)), "", VLOOKUP( APIF_Import!$C76, INDIRECT( "Lookup_" &amp; APIF_Import!$O76), VLOOKUP( APIF_Import!$O76 &amp; APIF_Import!$H$1,Podesavanja!$AA$3:$AD$28, 4, 0), 0))</f>
        <v/>
      </c>
      <c r="I76" s="230" t="str">
        <f ca="1">IF( ISNA( VLOOKUP( APIF_Import!$O76 &amp; APIF_Import!$I$1,Podesavanja!$AA$3:$AD$28, 4, 0)), "", VLOOKUP( APIF_Import!$C76, INDIRECT( "Lookup_" &amp; APIF_Import!$M76:$O76), VLOOKUP( APIF_Import!$O76 &amp; APIF_Import!$I$1,Podesavanja!$AA$3:$AD$28, 4, 0), 0))</f>
        <v/>
      </c>
      <c r="J76" s="230" t="str">
        <f ca="1">IF( ISNA( VLOOKUP( APIF_Import!$O76 &amp; APIF_Import!$J$1,Podesavanja!$AA$3:$AD$28, 4, 0)), "", VLOOKUP( APIF_Import!$C76, INDIRECT( "Lookup_" &amp; APIF_Import!$M76:$O76), VLOOKUP( APIF_Import!$O76 &amp; APIF_Import!$J$1,Podesavanja!$AA$3:$AD$28, 4, 0), 0))</f>
        <v/>
      </c>
      <c r="K76" s="230" t="str">
        <f ca="1">IF( ISNA( VLOOKUP( APIF_Import!$O76 &amp; APIF_Import!$K$1,Podesavanja!$AA$3:$AD$28, 4, 0)), "", VLOOKUP( APIF_Import!$C76, INDIRECT( "Lookup_" &amp; APIF_Import!$M76:$O76), VLOOKUP( APIF_Import!$O76 &amp; APIF_Import!$K$1,Podesavanja!$AA$3:$AD$28, 4, 0), 0))</f>
        <v/>
      </c>
      <c r="L76" s="230" t="str">
        <f ca="1">IF( ISNA( VLOOKUP( APIF_Import!$O76 &amp; APIF_Import!$L$1,Podesavanja!$AA$3:$AD$28, 4, 0)), "", VLOOKUP( APIF_Import!$C76, INDIRECT( "Lookup_" &amp; APIF_Import!$M76:$O76), VLOOKUP( APIF_Import!$O76 &amp; APIF_Import!$L$1,Podesavanja!$AA$3:$AD$28, 4, 0), 0))</f>
        <v/>
      </c>
      <c r="M76" s="230" t="str">
        <f ca="1">IF( ISNA( VLOOKUP( APIF_Import!$O76 &amp; APIF_Import!$M$1,Podesavanja!$AA$3:$AD$28, 4, 0)), "", VLOOKUP( APIF_Import!$C76, INDIRECT( "Lookup_" &amp; APIF_Import!$M76:$O76), VLOOKUP( APIF_Import!$O76 &amp; APIF_Import!$M$1,Podesavanja!$AA$3:$AD$28, 4, 0), 0))</f>
        <v/>
      </c>
      <c r="N76" s="8">
        <v>75</v>
      </c>
      <c r="O76" s="230" t="s">
        <v>2896</v>
      </c>
    </row>
    <row r="77" spans="2:15">
      <c r="B77" s="44">
        <f ca="1">VLOOKUP( APIF_Import!$O77, Podesavanja!$N$3:$Q$9, 4, 0)</f>
        <v>2</v>
      </c>
      <c r="C77" s="229">
        <f ca="1">VLOOKUP( APIF_Import!$N77, Aop!$A$2:$P$456, 4, 0)</f>
        <v>109</v>
      </c>
      <c r="D77" s="230" t="str">
        <f ca="1">IF( ISNA( VLOOKUP( APIF_Import!$O77 &amp; APIF_Import!$D$1,Podesavanja!$AA$3:$AD$28, 4, 0)), "", SUBSTITUTE( VALUE( VLOOKUP( APIF_Import!$C77, INDIRECT( "Lookup_" &amp; APIF_Import!$O77), VLOOKUP( APIF_Import!$O77 &amp; APIF_Import!$D$1,Podesavanja!$AA$3:$AD$28, 4, 0), 0)), ".", ","))</f>
        <v>0</v>
      </c>
      <c r="E77" s="230">
        <f ca="1">IF( ISNA( VLOOKUP( APIF_Import!$O77 &amp; APIF_Import!$E$1,Podesavanja!$AA$3:$AD$28, 4, 0)), "", VLOOKUP( APIF_Import!$C77, INDIRECT( "Lookup_" &amp; APIF_Import!$O77), VLOOKUP( APIF_Import!$O77 &amp; APIF_Import!$E$1,Podesavanja!$AA$3:$AD$28, 4, 0), 0))</f>
        <v>0</v>
      </c>
      <c r="F77" s="230" t="str">
        <f ca="1">IF( ISNA( VLOOKUP( APIF_Import!$O77 &amp; APIF_Import!$F$1,Podesavanja!$AA$3:$AD$28, 4, 0)), "", VLOOKUP( APIF_Import!$C77, INDIRECT( "Lookup_" &amp; APIF_Import!$O77), VLOOKUP( APIF_Import!$O77 &amp; APIF_Import!$F$1,Podesavanja!$AA$3:$AD$28, 4, 0), 0))</f>
        <v/>
      </c>
      <c r="G77" s="230" t="str">
        <f ca="1">IF( ISNA( VLOOKUP( APIF_Import!$O77 &amp; APIF_Import!$G$1,Podesavanja!$AA$3:$AD$28, 4, 0)), "", VLOOKUP( APIF_Import!$C77, INDIRECT( "Lookup_" &amp; APIF_Import!$O77), VLOOKUP( APIF_Import!$O77 &amp; APIF_Import!$G$1,Podesavanja!$AA$3:$AD$28, 4, 0), 0))</f>
        <v/>
      </c>
      <c r="H77" s="230" t="str">
        <f ca="1">IF( ISNA( VLOOKUP( APIF_Import!$O77 &amp; APIF_Import!$H$1,Podesavanja!$AA$3:$AD$28, 4, 0)), "", VLOOKUP( APIF_Import!$C77, INDIRECT( "Lookup_" &amp; APIF_Import!$O77), VLOOKUP( APIF_Import!$O77 &amp; APIF_Import!$H$1,Podesavanja!$AA$3:$AD$28, 4, 0), 0))</f>
        <v/>
      </c>
      <c r="I77" s="230" t="str">
        <f ca="1">IF( ISNA( VLOOKUP( APIF_Import!$O77 &amp; APIF_Import!$I$1,Podesavanja!$AA$3:$AD$28, 4, 0)), "", VLOOKUP( APIF_Import!$C77, INDIRECT( "Lookup_" &amp; APIF_Import!$M77:$O77), VLOOKUP( APIF_Import!$O77 &amp; APIF_Import!$I$1,Podesavanja!$AA$3:$AD$28, 4, 0), 0))</f>
        <v/>
      </c>
      <c r="J77" s="230" t="str">
        <f ca="1">IF( ISNA( VLOOKUP( APIF_Import!$O77 &amp; APIF_Import!$J$1,Podesavanja!$AA$3:$AD$28, 4, 0)), "", VLOOKUP( APIF_Import!$C77, INDIRECT( "Lookup_" &amp; APIF_Import!$M77:$O77), VLOOKUP( APIF_Import!$O77 &amp; APIF_Import!$J$1,Podesavanja!$AA$3:$AD$28, 4, 0), 0))</f>
        <v/>
      </c>
      <c r="K77" s="230" t="str">
        <f ca="1">IF( ISNA( VLOOKUP( APIF_Import!$O77 &amp; APIF_Import!$K$1,Podesavanja!$AA$3:$AD$28, 4, 0)), "", VLOOKUP( APIF_Import!$C77, INDIRECT( "Lookup_" &amp; APIF_Import!$M77:$O77), VLOOKUP( APIF_Import!$O77 &amp; APIF_Import!$K$1,Podesavanja!$AA$3:$AD$28, 4, 0), 0))</f>
        <v/>
      </c>
      <c r="L77" s="230" t="str">
        <f ca="1">IF( ISNA( VLOOKUP( APIF_Import!$O77 &amp; APIF_Import!$L$1,Podesavanja!$AA$3:$AD$28, 4, 0)), "", VLOOKUP( APIF_Import!$C77, INDIRECT( "Lookup_" &amp; APIF_Import!$M77:$O77), VLOOKUP( APIF_Import!$O77 &amp; APIF_Import!$L$1,Podesavanja!$AA$3:$AD$28, 4, 0), 0))</f>
        <v/>
      </c>
      <c r="M77" s="230" t="str">
        <f ca="1">IF( ISNA( VLOOKUP( APIF_Import!$O77 &amp; APIF_Import!$M$1,Podesavanja!$AA$3:$AD$28, 4, 0)), "", VLOOKUP( APIF_Import!$C77, INDIRECT( "Lookup_" &amp; APIF_Import!$M77:$O77), VLOOKUP( APIF_Import!$O77 &amp; APIF_Import!$M$1,Podesavanja!$AA$3:$AD$28, 4, 0), 0))</f>
        <v/>
      </c>
      <c r="N77" s="8">
        <v>76</v>
      </c>
      <c r="O77" s="230" t="s">
        <v>2896</v>
      </c>
    </row>
    <row r="78" spans="2:15">
      <c r="B78" s="44">
        <f ca="1">VLOOKUP( APIF_Import!$O78, Podesavanja!$N$3:$Q$9, 4, 0)</f>
        <v>2</v>
      </c>
      <c r="C78" s="229">
        <f ca="1">VLOOKUP( APIF_Import!$N78, Aop!$A$2:$P$456, 4, 0)</f>
        <v>110</v>
      </c>
      <c r="D78" s="230" t="str">
        <f ca="1">IF( ISNA( VLOOKUP( APIF_Import!$O78 &amp; APIF_Import!$D$1,Podesavanja!$AA$3:$AD$28, 4, 0)), "", SUBSTITUTE( VALUE( VLOOKUP( APIF_Import!$C78, INDIRECT( "Lookup_" &amp; APIF_Import!$O78), VLOOKUP( APIF_Import!$O78 &amp; APIF_Import!$D$1,Podesavanja!$AA$3:$AD$28, 4, 0), 0)), ".", ","))</f>
        <v>0</v>
      </c>
      <c r="E78" s="230">
        <f ca="1">IF( ISNA( VLOOKUP( APIF_Import!$O78 &amp; APIF_Import!$E$1,Podesavanja!$AA$3:$AD$28, 4, 0)), "", VLOOKUP( APIF_Import!$C78, INDIRECT( "Lookup_" &amp; APIF_Import!$O78), VLOOKUP( APIF_Import!$O78 &amp; APIF_Import!$E$1,Podesavanja!$AA$3:$AD$28, 4, 0), 0))</f>
        <v>0</v>
      </c>
      <c r="F78" s="230" t="str">
        <f ca="1">IF( ISNA( VLOOKUP( APIF_Import!$O78 &amp; APIF_Import!$F$1,Podesavanja!$AA$3:$AD$28, 4, 0)), "", VLOOKUP( APIF_Import!$C78, INDIRECT( "Lookup_" &amp; APIF_Import!$O78), VLOOKUP( APIF_Import!$O78 &amp; APIF_Import!$F$1,Podesavanja!$AA$3:$AD$28, 4, 0), 0))</f>
        <v/>
      </c>
      <c r="G78" s="230" t="str">
        <f ca="1">IF( ISNA( VLOOKUP( APIF_Import!$O78 &amp; APIF_Import!$G$1,Podesavanja!$AA$3:$AD$28, 4, 0)), "", VLOOKUP( APIF_Import!$C78, INDIRECT( "Lookup_" &amp; APIF_Import!$O78), VLOOKUP( APIF_Import!$O78 &amp; APIF_Import!$G$1,Podesavanja!$AA$3:$AD$28, 4, 0), 0))</f>
        <v/>
      </c>
      <c r="H78" s="230" t="str">
        <f ca="1">IF( ISNA( VLOOKUP( APIF_Import!$O78 &amp; APIF_Import!$H$1,Podesavanja!$AA$3:$AD$28, 4, 0)), "", VLOOKUP( APIF_Import!$C78, INDIRECT( "Lookup_" &amp; APIF_Import!$O78), VLOOKUP( APIF_Import!$O78 &amp; APIF_Import!$H$1,Podesavanja!$AA$3:$AD$28, 4, 0), 0))</f>
        <v/>
      </c>
      <c r="I78" s="230" t="str">
        <f ca="1">IF( ISNA( VLOOKUP( APIF_Import!$O78 &amp; APIF_Import!$I$1,Podesavanja!$AA$3:$AD$28, 4, 0)), "", VLOOKUP( APIF_Import!$C78, INDIRECT( "Lookup_" &amp; APIF_Import!$M78:$O78), VLOOKUP( APIF_Import!$O78 &amp; APIF_Import!$I$1,Podesavanja!$AA$3:$AD$28, 4, 0), 0))</f>
        <v/>
      </c>
      <c r="J78" s="230" t="str">
        <f ca="1">IF( ISNA( VLOOKUP( APIF_Import!$O78 &amp; APIF_Import!$J$1,Podesavanja!$AA$3:$AD$28, 4, 0)), "", VLOOKUP( APIF_Import!$C78, INDIRECT( "Lookup_" &amp; APIF_Import!$M78:$O78), VLOOKUP( APIF_Import!$O78 &amp; APIF_Import!$J$1,Podesavanja!$AA$3:$AD$28, 4, 0), 0))</f>
        <v/>
      </c>
      <c r="K78" s="230" t="str">
        <f ca="1">IF( ISNA( VLOOKUP( APIF_Import!$O78 &amp; APIF_Import!$K$1,Podesavanja!$AA$3:$AD$28, 4, 0)), "", VLOOKUP( APIF_Import!$C78, INDIRECT( "Lookup_" &amp; APIF_Import!$M78:$O78), VLOOKUP( APIF_Import!$O78 &amp; APIF_Import!$K$1,Podesavanja!$AA$3:$AD$28, 4, 0), 0))</f>
        <v/>
      </c>
      <c r="L78" s="230" t="str">
        <f ca="1">IF( ISNA( VLOOKUP( APIF_Import!$O78 &amp; APIF_Import!$L$1,Podesavanja!$AA$3:$AD$28, 4, 0)), "", VLOOKUP( APIF_Import!$C78, INDIRECT( "Lookup_" &amp; APIF_Import!$M78:$O78), VLOOKUP( APIF_Import!$O78 &amp; APIF_Import!$L$1,Podesavanja!$AA$3:$AD$28, 4, 0), 0))</f>
        <v/>
      </c>
      <c r="M78" s="230" t="str">
        <f ca="1">IF( ISNA( VLOOKUP( APIF_Import!$O78 &amp; APIF_Import!$M$1,Podesavanja!$AA$3:$AD$28, 4, 0)), "", VLOOKUP( APIF_Import!$C78, INDIRECT( "Lookup_" &amp; APIF_Import!$M78:$O78), VLOOKUP( APIF_Import!$O78 &amp; APIF_Import!$M$1,Podesavanja!$AA$3:$AD$28, 4, 0), 0))</f>
        <v/>
      </c>
      <c r="N78" s="8">
        <v>77</v>
      </c>
      <c r="O78" s="230" t="s">
        <v>2896</v>
      </c>
    </row>
    <row r="79" spans="2:15">
      <c r="B79" s="44">
        <f ca="1">VLOOKUP( APIF_Import!$O79, Podesavanja!$N$3:$Q$9, 4, 0)</f>
        <v>2</v>
      </c>
      <c r="C79" s="229">
        <f ca="1">VLOOKUP( APIF_Import!$N79, Aop!$A$2:$P$456, 4, 0)</f>
        <v>111</v>
      </c>
      <c r="D79" s="230" t="str">
        <f ca="1">IF( ISNA( VLOOKUP( APIF_Import!$O79 &amp; APIF_Import!$D$1,Podesavanja!$AA$3:$AD$28, 4, 0)), "", SUBSTITUTE( VALUE( VLOOKUP( APIF_Import!$C79, INDIRECT( "Lookup_" &amp; APIF_Import!$O79), VLOOKUP( APIF_Import!$O79 &amp; APIF_Import!$D$1,Podesavanja!$AA$3:$AD$28, 4, 0), 0)), ".", ","))</f>
        <v>0</v>
      </c>
      <c r="E79" s="230">
        <f ca="1">IF( ISNA( VLOOKUP( APIF_Import!$O79 &amp; APIF_Import!$E$1,Podesavanja!$AA$3:$AD$28, 4, 0)), "", VLOOKUP( APIF_Import!$C79, INDIRECT( "Lookup_" &amp; APIF_Import!$O79), VLOOKUP( APIF_Import!$O79 &amp; APIF_Import!$E$1,Podesavanja!$AA$3:$AD$28, 4, 0), 0))</f>
        <v>0</v>
      </c>
      <c r="F79" s="230" t="str">
        <f ca="1">IF( ISNA( VLOOKUP( APIF_Import!$O79 &amp; APIF_Import!$F$1,Podesavanja!$AA$3:$AD$28, 4, 0)), "", VLOOKUP( APIF_Import!$C79, INDIRECT( "Lookup_" &amp; APIF_Import!$O79), VLOOKUP( APIF_Import!$O79 &amp; APIF_Import!$F$1,Podesavanja!$AA$3:$AD$28, 4, 0), 0))</f>
        <v/>
      </c>
      <c r="G79" s="230" t="str">
        <f ca="1">IF( ISNA( VLOOKUP( APIF_Import!$O79 &amp; APIF_Import!$G$1,Podesavanja!$AA$3:$AD$28, 4, 0)), "", VLOOKUP( APIF_Import!$C79, INDIRECT( "Lookup_" &amp; APIF_Import!$O79), VLOOKUP( APIF_Import!$O79 &amp; APIF_Import!$G$1,Podesavanja!$AA$3:$AD$28, 4, 0), 0))</f>
        <v/>
      </c>
      <c r="H79" s="230" t="str">
        <f ca="1">IF( ISNA( VLOOKUP( APIF_Import!$O79 &amp; APIF_Import!$H$1,Podesavanja!$AA$3:$AD$28, 4, 0)), "", VLOOKUP( APIF_Import!$C79, INDIRECT( "Lookup_" &amp; APIF_Import!$O79), VLOOKUP( APIF_Import!$O79 &amp; APIF_Import!$H$1,Podesavanja!$AA$3:$AD$28, 4, 0), 0))</f>
        <v/>
      </c>
      <c r="I79" s="230" t="str">
        <f ca="1">IF( ISNA( VLOOKUP( APIF_Import!$O79 &amp; APIF_Import!$I$1,Podesavanja!$AA$3:$AD$28, 4, 0)), "", VLOOKUP( APIF_Import!$C79, INDIRECT( "Lookup_" &amp; APIF_Import!$M79:$O79), VLOOKUP( APIF_Import!$O79 &amp; APIF_Import!$I$1,Podesavanja!$AA$3:$AD$28, 4, 0), 0))</f>
        <v/>
      </c>
      <c r="J79" s="230" t="str">
        <f ca="1">IF( ISNA( VLOOKUP( APIF_Import!$O79 &amp; APIF_Import!$J$1,Podesavanja!$AA$3:$AD$28, 4, 0)), "", VLOOKUP( APIF_Import!$C79, INDIRECT( "Lookup_" &amp; APIF_Import!$M79:$O79), VLOOKUP( APIF_Import!$O79 &amp; APIF_Import!$J$1,Podesavanja!$AA$3:$AD$28, 4, 0), 0))</f>
        <v/>
      </c>
      <c r="K79" s="230" t="str">
        <f ca="1">IF( ISNA( VLOOKUP( APIF_Import!$O79 &amp; APIF_Import!$K$1,Podesavanja!$AA$3:$AD$28, 4, 0)), "", VLOOKUP( APIF_Import!$C79, INDIRECT( "Lookup_" &amp; APIF_Import!$M79:$O79), VLOOKUP( APIF_Import!$O79 &amp; APIF_Import!$K$1,Podesavanja!$AA$3:$AD$28, 4, 0), 0))</f>
        <v/>
      </c>
      <c r="L79" s="230" t="str">
        <f ca="1">IF( ISNA( VLOOKUP( APIF_Import!$O79 &amp; APIF_Import!$L$1,Podesavanja!$AA$3:$AD$28, 4, 0)), "", VLOOKUP( APIF_Import!$C79, INDIRECT( "Lookup_" &amp; APIF_Import!$M79:$O79), VLOOKUP( APIF_Import!$O79 &amp; APIF_Import!$L$1,Podesavanja!$AA$3:$AD$28, 4, 0), 0))</f>
        <v/>
      </c>
      <c r="M79" s="230" t="str">
        <f ca="1">IF( ISNA( VLOOKUP( APIF_Import!$O79 &amp; APIF_Import!$M$1,Podesavanja!$AA$3:$AD$28, 4, 0)), "", VLOOKUP( APIF_Import!$C79, INDIRECT( "Lookup_" &amp; APIF_Import!$M79:$O79), VLOOKUP( APIF_Import!$O79 &amp; APIF_Import!$M$1,Podesavanja!$AA$3:$AD$28, 4, 0), 0))</f>
        <v/>
      </c>
      <c r="N79" s="8">
        <v>78</v>
      </c>
      <c r="O79" s="230" t="s">
        <v>2896</v>
      </c>
    </row>
    <row r="80" spans="2:15">
      <c r="B80" s="44">
        <f ca="1">VLOOKUP( APIF_Import!$O80, Podesavanja!$N$3:$Q$9, 4, 0)</f>
        <v>2</v>
      </c>
      <c r="C80" s="229">
        <f ca="1">VLOOKUP( APIF_Import!$N80, Aop!$A$2:$P$456, 4, 0)</f>
        <v>112</v>
      </c>
      <c r="D80" s="230" t="str">
        <f ca="1">IF( ISNA( VLOOKUP( APIF_Import!$O80 &amp; APIF_Import!$D$1,Podesavanja!$AA$3:$AD$28, 4, 0)), "", SUBSTITUTE( VALUE( VLOOKUP( APIF_Import!$C80, INDIRECT( "Lookup_" &amp; APIF_Import!$O80), VLOOKUP( APIF_Import!$O80 &amp; APIF_Import!$D$1,Podesavanja!$AA$3:$AD$28, 4, 0), 0)), ".", ","))</f>
        <v>0</v>
      </c>
      <c r="E80" s="230">
        <f ca="1">IF( ISNA( VLOOKUP( APIF_Import!$O80 &amp; APIF_Import!$E$1,Podesavanja!$AA$3:$AD$28, 4, 0)), "", VLOOKUP( APIF_Import!$C80, INDIRECT( "Lookup_" &amp; APIF_Import!$O80), VLOOKUP( APIF_Import!$O80 &amp; APIF_Import!$E$1,Podesavanja!$AA$3:$AD$28, 4, 0), 0))</f>
        <v>0</v>
      </c>
      <c r="F80" s="230" t="str">
        <f ca="1">IF( ISNA( VLOOKUP( APIF_Import!$O80 &amp; APIF_Import!$F$1,Podesavanja!$AA$3:$AD$28, 4, 0)), "", VLOOKUP( APIF_Import!$C80, INDIRECT( "Lookup_" &amp; APIF_Import!$O80), VLOOKUP( APIF_Import!$O80 &amp; APIF_Import!$F$1,Podesavanja!$AA$3:$AD$28, 4, 0), 0))</f>
        <v/>
      </c>
      <c r="G80" s="230" t="str">
        <f ca="1">IF( ISNA( VLOOKUP( APIF_Import!$O80 &amp; APIF_Import!$G$1,Podesavanja!$AA$3:$AD$28, 4, 0)), "", VLOOKUP( APIF_Import!$C80, INDIRECT( "Lookup_" &amp; APIF_Import!$O80), VLOOKUP( APIF_Import!$O80 &amp; APIF_Import!$G$1,Podesavanja!$AA$3:$AD$28, 4, 0), 0))</f>
        <v/>
      </c>
      <c r="H80" s="230" t="str">
        <f ca="1">IF( ISNA( VLOOKUP( APIF_Import!$O80 &amp; APIF_Import!$H$1,Podesavanja!$AA$3:$AD$28, 4, 0)), "", VLOOKUP( APIF_Import!$C80, INDIRECT( "Lookup_" &amp; APIF_Import!$O80), VLOOKUP( APIF_Import!$O80 &amp; APIF_Import!$H$1,Podesavanja!$AA$3:$AD$28, 4, 0), 0))</f>
        <v/>
      </c>
      <c r="I80" s="230" t="str">
        <f ca="1">IF( ISNA( VLOOKUP( APIF_Import!$O80 &amp; APIF_Import!$I$1,Podesavanja!$AA$3:$AD$28, 4, 0)), "", VLOOKUP( APIF_Import!$C80, INDIRECT( "Lookup_" &amp; APIF_Import!$M80:$O80), VLOOKUP( APIF_Import!$O80 &amp; APIF_Import!$I$1,Podesavanja!$AA$3:$AD$28, 4, 0), 0))</f>
        <v/>
      </c>
      <c r="J80" s="230" t="str">
        <f ca="1">IF( ISNA( VLOOKUP( APIF_Import!$O80 &amp; APIF_Import!$J$1,Podesavanja!$AA$3:$AD$28, 4, 0)), "", VLOOKUP( APIF_Import!$C80, INDIRECT( "Lookup_" &amp; APIF_Import!$M80:$O80), VLOOKUP( APIF_Import!$O80 &amp; APIF_Import!$J$1,Podesavanja!$AA$3:$AD$28, 4, 0), 0))</f>
        <v/>
      </c>
      <c r="K80" s="230" t="str">
        <f ca="1">IF( ISNA( VLOOKUP( APIF_Import!$O80 &amp; APIF_Import!$K$1,Podesavanja!$AA$3:$AD$28, 4, 0)), "", VLOOKUP( APIF_Import!$C80, INDIRECT( "Lookup_" &amp; APIF_Import!$M80:$O80), VLOOKUP( APIF_Import!$O80 &amp; APIF_Import!$K$1,Podesavanja!$AA$3:$AD$28, 4, 0), 0))</f>
        <v/>
      </c>
      <c r="L80" s="230" t="str">
        <f ca="1">IF( ISNA( VLOOKUP( APIF_Import!$O80 &amp; APIF_Import!$L$1,Podesavanja!$AA$3:$AD$28, 4, 0)), "", VLOOKUP( APIF_Import!$C80, INDIRECT( "Lookup_" &amp; APIF_Import!$M80:$O80), VLOOKUP( APIF_Import!$O80 &amp; APIF_Import!$L$1,Podesavanja!$AA$3:$AD$28, 4, 0), 0))</f>
        <v/>
      </c>
      <c r="M80" s="230" t="str">
        <f ca="1">IF( ISNA( VLOOKUP( APIF_Import!$O80 &amp; APIF_Import!$M$1,Podesavanja!$AA$3:$AD$28, 4, 0)), "", VLOOKUP( APIF_Import!$C80, INDIRECT( "Lookup_" &amp; APIF_Import!$M80:$O80), VLOOKUP( APIF_Import!$O80 &amp; APIF_Import!$M$1,Podesavanja!$AA$3:$AD$28, 4, 0), 0))</f>
        <v/>
      </c>
      <c r="N80" s="8">
        <v>79</v>
      </c>
      <c r="O80" s="230" t="s">
        <v>2896</v>
      </c>
    </row>
    <row r="81" spans="2:15">
      <c r="B81" s="44">
        <f ca="1">VLOOKUP( APIF_Import!$O81, Podesavanja!$N$3:$Q$9, 4, 0)</f>
        <v>2</v>
      </c>
      <c r="C81" s="229">
        <f ca="1">VLOOKUP( APIF_Import!$N81, Aop!$A$2:$P$456, 4, 0)</f>
        <v>113</v>
      </c>
      <c r="D81" s="230" t="str">
        <f ca="1">IF( ISNA( VLOOKUP( APIF_Import!$O81 &amp; APIF_Import!$D$1,Podesavanja!$AA$3:$AD$28, 4, 0)), "", SUBSTITUTE( VALUE( VLOOKUP( APIF_Import!$C81, INDIRECT( "Lookup_" &amp; APIF_Import!$O81), VLOOKUP( APIF_Import!$O81 &amp; APIF_Import!$D$1,Podesavanja!$AA$3:$AD$28, 4, 0), 0)), ".", ","))</f>
        <v>0</v>
      </c>
      <c r="E81" s="230">
        <f ca="1">IF( ISNA( VLOOKUP( APIF_Import!$O81 &amp; APIF_Import!$E$1,Podesavanja!$AA$3:$AD$28, 4, 0)), "", VLOOKUP( APIF_Import!$C81, INDIRECT( "Lookup_" &amp; APIF_Import!$O81), VLOOKUP( APIF_Import!$O81 &amp; APIF_Import!$E$1,Podesavanja!$AA$3:$AD$28, 4, 0), 0))</f>
        <v>0</v>
      </c>
      <c r="F81" s="230" t="str">
        <f ca="1">IF( ISNA( VLOOKUP( APIF_Import!$O81 &amp; APIF_Import!$F$1,Podesavanja!$AA$3:$AD$28, 4, 0)), "", VLOOKUP( APIF_Import!$C81, INDIRECT( "Lookup_" &amp; APIF_Import!$O81), VLOOKUP( APIF_Import!$O81 &amp; APIF_Import!$F$1,Podesavanja!$AA$3:$AD$28, 4, 0), 0))</f>
        <v/>
      </c>
      <c r="G81" s="230" t="str">
        <f ca="1">IF( ISNA( VLOOKUP( APIF_Import!$O81 &amp; APIF_Import!$G$1,Podesavanja!$AA$3:$AD$28, 4, 0)), "", VLOOKUP( APIF_Import!$C81, INDIRECT( "Lookup_" &amp; APIF_Import!$O81), VLOOKUP( APIF_Import!$O81 &amp; APIF_Import!$G$1,Podesavanja!$AA$3:$AD$28, 4, 0), 0))</f>
        <v/>
      </c>
      <c r="H81" s="230" t="str">
        <f ca="1">IF( ISNA( VLOOKUP( APIF_Import!$O81 &amp; APIF_Import!$H$1,Podesavanja!$AA$3:$AD$28, 4, 0)), "", VLOOKUP( APIF_Import!$C81, INDIRECT( "Lookup_" &amp; APIF_Import!$O81), VLOOKUP( APIF_Import!$O81 &amp; APIF_Import!$H$1,Podesavanja!$AA$3:$AD$28, 4, 0), 0))</f>
        <v/>
      </c>
      <c r="I81" s="230" t="str">
        <f ca="1">IF( ISNA( VLOOKUP( APIF_Import!$O81 &amp; APIF_Import!$I$1,Podesavanja!$AA$3:$AD$28, 4, 0)), "", VLOOKUP( APIF_Import!$C81, INDIRECT( "Lookup_" &amp; APIF_Import!$M81:$O81), VLOOKUP( APIF_Import!$O81 &amp; APIF_Import!$I$1,Podesavanja!$AA$3:$AD$28, 4, 0), 0))</f>
        <v/>
      </c>
      <c r="J81" s="230" t="str">
        <f ca="1">IF( ISNA( VLOOKUP( APIF_Import!$O81 &amp; APIF_Import!$J$1,Podesavanja!$AA$3:$AD$28, 4, 0)), "", VLOOKUP( APIF_Import!$C81, INDIRECT( "Lookup_" &amp; APIF_Import!$M81:$O81), VLOOKUP( APIF_Import!$O81 &amp; APIF_Import!$J$1,Podesavanja!$AA$3:$AD$28, 4, 0), 0))</f>
        <v/>
      </c>
      <c r="K81" s="230" t="str">
        <f ca="1">IF( ISNA( VLOOKUP( APIF_Import!$O81 &amp; APIF_Import!$K$1,Podesavanja!$AA$3:$AD$28, 4, 0)), "", VLOOKUP( APIF_Import!$C81, INDIRECT( "Lookup_" &amp; APIF_Import!$M81:$O81), VLOOKUP( APIF_Import!$O81 &amp; APIF_Import!$K$1,Podesavanja!$AA$3:$AD$28, 4, 0), 0))</f>
        <v/>
      </c>
      <c r="L81" s="230" t="str">
        <f ca="1">IF( ISNA( VLOOKUP( APIF_Import!$O81 &amp; APIF_Import!$L$1,Podesavanja!$AA$3:$AD$28, 4, 0)), "", VLOOKUP( APIF_Import!$C81, INDIRECT( "Lookup_" &amp; APIF_Import!$M81:$O81), VLOOKUP( APIF_Import!$O81 &amp; APIF_Import!$L$1,Podesavanja!$AA$3:$AD$28, 4, 0), 0))</f>
        <v/>
      </c>
      <c r="M81" s="230" t="str">
        <f ca="1">IF( ISNA( VLOOKUP( APIF_Import!$O81 &amp; APIF_Import!$M$1,Podesavanja!$AA$3:$AD$28, 4, 0)), "", VLOOKUP( APIF_Import!$C81, INDIRECT( "Lookup_" &amp; APIF_Import!$M81:$O81), VLOOKUP( APIF_Import!$O81 &amp; APIF_Import!$M$1,Podesavanja!$AA$3:$AD$28, 4, 0), 0))</f>
        <v/>
      </c>
      <c r="N81" s="8">
        <v>80</v>
      </c>
      <c r="O81" s="230" t="s">
        <v>2896</v>
      </c>
    </row>
    <row r="82" spans="2:15">
      <c r="B82" s="44">
        <f ca="1">VLOOKUP( APIF_Import!$O82, Podesavanja!$N$3:$Q$9, 4, 0)</f>
        <v>2</v>
      </c>
      <c r="C82" s="229">
        <f ca="1">VLOOKUP( APIF_Import!$N82, Aop!$A$2:$P$456, 4, 0)</f>
        <v>114</v>
      </c>
      <c r="D82" s="230" t="str">
        <f ca="1">IF( ISNA( VLOOKUP( APIF_Import!$O82 &amp; APIF_Import!$D$1,Podesavanja!$AA$3:$AD$28, 4, 0)), "", SUBSTITUTE( VALUE( VLOOKUP( APIF_Import!$C82, INDIRECT( "Lookup_" &amp; APIF_Import!$O82), VLOOKUP( APIF_Import!$O82 &amp; APIF_Import!$D$1,Podesavanja!$AA$3:$AD$28, 4, 0), 0)), ".", ","))</f>
        <v>0</v>
      </c>
      <c r="E82" s="230">
        <f ca="1">IF( ISNA( VLOOKUP( APIF_Import!$O82 &amp; APIF_Import!$E$1,Podesavanja!$AA$3:$AD$28, 4, 0)), "", VLOOKUP( APIF_Import!$C82, INDIRECT( "Lookup_" &amp; APIF_Import!$O82), VLOOKUP( APIF_Import!$O82 &amp; APIF_Import!$E$1,Podesavanja!$AA$3:$AD$28, 4, 0), 0))</f>
        <v>0</v>
      </c>
      <c r="F82" s="230" t="str">
        <f ca="1">IF( ISNA( VLOOKUP( APIF_Import!$O82 &amp; APIF_Import!$F$1,Podesavanja!$AA$3:$AD$28, 4, 0)), "", VLOOKUP( APIF_Import!$C82, INDIRECT( "Lookup_" &amp; APIF_Import!$O82), VLOOKUP( APIF_Import!$O82 &amp; APIF_Import!$F$1,Podesavanja!$AA$3:$AD$28, 4, 0), 0))</f>
        <v/>
      </c>
      <c r="G82" s="230" t="str">
        <f ca="1">IF( ISNA( VLOOKUP( APIF_Import!$O82 &amp; APIF_Import!$G$1,Podesavanja!$AA$3:$AD$28, 4, 0)), "", VLOOKUP( APIF_Import!$C82, INDIRECT( "Lookup_" &amp; APIF_Import!$O82), VLOOKUP( APIF_Import!$O82 &amp; APIF_Import!$G$1,Podesavanja!$AA$3:$AD$28, 4, 0), 0))</f>
        <v/>
      </c>
      <c r="H82" s="230" t="str">
        <f ca="1">IF( ISNA( VLOOKUP( APIF_Import!$O82 &amp; APIF_Import!$H$1,Podesavanja!$AA$3:$AD$28, 4, 0)), "", VLOOKUP( APIF_Import!$C82, INDIRECT( "Lookup_" &amp; APIF_Import!$O82), VLOOKUP( APIF_Import!$O82 &amp; APIF_Import!$H$1,Podesavanja!$AA$3:$AD$28, 4, 0), 0))</f>
        <v/>
      </c>
      <c r="I82" s="230" t="str">
        <f ca="1">IF( ISNA( VLOOKUP( APIF_Import!$O82 &amp; APIF_Import!$I$1,Podesavanja!$AA$3:$AD$28, 4, 0)), "", VLOOKUP( APIF_Import!$C82, INDIRECT( "Lookup_" &amp; APIF_Import!$M82:$O82), VLOOKUP( APIF_Import!$O82 &amp; APIF_Import!$I$1,Podesavanja!$AA$3:$AD$28, 4, 0), 0))</f>
        <v/>
      </c>
      <c r="J82" s="230" t="str">
        <f ca="1">IF( ISNA( VLOOKUP( APIF_Import!$O82 &amp; APIF_Import!$J$1,Podesavanja!$AA$3:$AD$28, 4, 0)), "", VLOOKUP( APIF_Import!$C82, INDIRECT( "Lookup_" &amp; APIF_Import!$M82:$O82), VLOOKUP( APIF_Import!$O82 &amp; APIF_Import!$J$1,Podesavanja!$AA$3:$AD$28, 4, 0), 0))</f>
        <v/>
      </c>
      <c r="K82" s="230" t="str">
        <f ca="1">IF( ISNA( VLOOKUP( APIF_Import!$O82 &amp; APIF_Import!$K$1,Podesavanja!$AA$3:$AD$28, 4, 0)), "", VLOOKUP( APIF_Import!$C82, INDIRECT( "Lookup_" &amp; APIF_Import!$M82:$O82), VLOOKUP( APIF_Import!$O82 &amp; APIF_Import!$K$1,Podesavanja!$AA$3:$AD$28, 4, 0), 0))</f>
        <v/>
      </c>
      <c r="L82" s="230" t="str">
        <f ca="1">IF( ISNA( VLOOKUP( APIF_Import!$O82 &amp; APIF_Import!$L$1,Podesavanja!$AA$3:$AD$28, 4, 0)), "", VLOOKUP( APIF_Import!$C82, INDIRECT( "Lookup_" &amp; APIF_Import!$M82:$O82), VLOOKUP( APIF_Import!$O82 &amp; APIF_Import!$L$1,Podesavanja!$AA$3:$AD$28, 4, 0), 0))</f>
        <v/>
      </c>
      <c r="M82" s="230" t="str">
        <f ca="1">IF( ISNA( VLOOKUP( APIF_Import!$O82 &amp; APIF_Import!$M$1,Podesavanja!$AA$3:$AD$28, 4, 0)), "", VLOOKUP( APIF_Import!$C82, INDIRECT( "Lookup_" &amp; APIF_Import!$M82:$O82), VLOOKUP( APIF_Import!$O82 &amp; APIF_Import!$M$1,Podesavanja!$AA$3:$AD$28, 4, 0), 0))</f>
        <v/>
      </c>
      <c r="N82" s="8">
        <v>81</v>
      </c>
      <c r="O82" s="230" t="s">
        <v>2896</v>
      </c>
    </row>
    <row r="83" spans="2:15">
      <c r="B83" s="44">
        <f ca="1">VLOOKUP( APIF_Import!$O83, Podesavanja!$N$3:$Q$9, 4, 0)</f>
        <v>2</v>
      </c>
      <c r="C83" s="229">
        <f ca="1">VLOOKUP( APIF_Import!$N83, Aop!$A$2:$P$456, 4, 0)</f>
        <v>115</v>
      </c>
      <c r="D83" s="230" t="str">
        <f ca="1">IF( ISNA( VLOOKUP( APIF_Import!$O83 &amp; APIF_Import!$D$1,Podesavanja!$AA$3:$AD$28, 4, 0)), "", SUBSTITUTE( VALUE( VLOOKUP( APIF_Import!$C83, INDIRECT( "Lookup_" &amp; APIF_Import!$O83), VLOOKUP( APIF_Import!$O83 &amp; APIF_Import!$D$1,Podesavanja!$AA$3:$AD$28, 4, 0), 0)), ".", ","))</f>
        <v>873001</v>
      </c>
      <c r="E83" s="230">
        <f ca="1">IF( ISNA( VLOOKUP( APIF_Import!$O83 &amp; APIF_Import!$E$1,Podesavanja!$AA$3:$AD$28, 4, 0)), "", VLOOKUP( APIF_Import!$C83, INDIRECT( "Lookup_" &amp; APIF_Import!$O83), VLOOKUP( APIF_Import!$O83 &amp; APIF_Import!$E$1,Podesavanja!$AA$3:$AD$28, 4, 0), 0))</f>
        <v>20971</v>
      </c>
      <c r="F83" s="230" t="str">
        <f ca="1">IF( ISNA( VLOOKUP( APIF_Import!$O83 &amp; APIF_Import!$F$1,Podesavanja!$AA$3:$AD$28, 4, 0)), "", VLOOKUP( APIF_Import!$C83, INDIRECT( "Lookup_" &amp; APIF_Import!$O83), VLOOKUP( APIF_Import!$O83 &amp; APIF_Import!$F$1,Podesavanja!$AA$3:$AD$28, 4, 0), 0))</f>
        <v/>
      </c>
      <c r="G83" s="230" t="str">
        <f ca="1">IF( ISNA( VLOOKUP( APIF_Import!$O83 &amp; APIF_Import!$G$1,Podesavanja!$AA$3:$AD$28, 4, 0)), "", VLOOKUP( APIF_Import!$C83, INDIRECT( "Lookup_" &amp; APIF_Import!$O83), VLOOKUP( APIF_Import!$O83 &amp; APIF_Import!$G$1,Podesavanja!$AA$3:$AD$28, 4, 0), 0))</f>
        <v/>
      </c>
      <c r="H83" s="230" t="str">
        <f ca="1">IF( ISNA( VLOOKUP( APIF_Import!$O83 &amp; APIF_Import!$H$1,Podesavanja!$AA$3:$AD$28, 4, 0)), "", VLOOKUP( APIF_Import!$C83, INDIRECT( "Lookup_" &amp; APIF_Import!$O83), VLOOKUP( APIF_Import!$O83 &amp; APIF_Import!$H$1,Podesavanja!$AA$3:$AD$28, 4, 0), 0))</f>
        <v/>
      </c>
      <c r="I83" s="230" t="str">
        <f ca="1">IF( ISNA( VLOOKUP( APIF_Import!$O83 &amp; APIF_Import!$I$1,Podesavanja!$AA$3:$AD$28, 4, 0)), "", VLOOKUP( APIF_Import!$C83, INDIRECT( "Lookup_" &amp; APIF_Import!$M83:$O83), VLOOKUP( APIF_Import!$O83 &amp; APIF_Import!$I$1,Podesavanja!$AA$3:$AD$28, 4, 0), 0))</f>
        <v/>
      </c>
      <c r="J83" s="230" t="str">
        <f ca="1">IF( ISNA( VLOOKUP( APIF_Import!$O83 &amp; APIF_Import!$J$1,Podesavanja!$AA$3:$AD$28, 4, 0)), "", VLOOKUP( APIF_Import!$C83, INDIRECT( "Lookup_" &amp; APIF_Import!$M83:$O83), VLOOKUP( APIF_Import!$O83 &amp; APIF_Import!$J$1,Podesavanja!$AA$3:$AD$28, 4, 0), 0))</f>
        <v/>
      </c>
      <c r="K83" s="230" t="str">
        <f ca="1">IF( ISNA( VLOOKUP( APIF_Import!$O83 &amp; APIF_Import!$K$1,Podesavanja!$AA$3:$AD$28, 4, 0)), "", VLOOKUP( APIF_Import!$C83, INDIRECT( "Lookup_" &amp; APIF_Import!$M83:$O83), VLOOKUP( APIF_Import!$O83 &amp; APIF_Import!$K$1,Podesavanja!$AA$3:$AD$28, 4, 0), 0))</f>
        <v/>
      </c>
      <c r="L83" s="230" t="str">
        <f ca="1">IF( ISNA( VLOOKUP( APIF_Import!$O83 &amp; APIF_Import!$L$1,Podesavanja!$AA$3:$AD$28, 4, 0)), "", VLOOKUP( APIF_Import!$C83, INDIRECT( "Lookup_" &amp; APIF_Import!$M83:$O83), VLOOKUP( APIF_Import!$O83 &amp; APIF_Import!$L$1,Podesavanja!$AA$3:$AD$28, 4, 0), 0))</f>
        <v/>
      </c>
      <c r="M83" s="230" t="str">
        <f ca="1">IF( ISNA( VLOOKUP( APIF_Import!$O83 &amp; APIF_Import!$M$1,Podesavanja!$AA$3:$AD$28, 4, 0)), "", VLOOKUP( APIF_Import!$C83, INDIRECT( "Lookup_" &amp; APIF_Import!$M83:$O83), VLOOKUP( APIF_Import!$O83 &amp; APIF_Import!$M$1,Podesavanja!$AA$3:$AD$28, 4, 0), 0))</f>
        <v/>
      </c>
      <c r="N83" s="8">
        <v>82</v>
      </c>
      <c r="O83" s="230" t="s">
        <v>2896</v>
      </c>
    </row>
    <row r="84" spans="2:15">
      <c r="B84" s="44">
        <f ca="1">VLOOKUP( APIF_Import!$O84, Podesavanja!$N$3:$Q$9, 4, 0)</f>
        <v>2</v>
      </c>
      <c r="C84" s="229">
        <f ca="1">VLOOKUP( APIF_Import!$N84, Aop!$A$2:$P$456, 4, 0)</f>
        <v>116</v>
      </c>
      <c r="D84" s="230" t="str">
        <f ca="1">IF( ISNA( VLOOKUP( APIF_Import!$O84 &amp; APIF_Import!$D$1,Podesavanja!$AA$3:$AD$28, 4, 0)), "", SUBSTITUTE( VALUE( VLOOKUP( APIF_Import!$C84, INDIRECT( "Lookup_" &amp; APIF_Import!$O84), VLOOKUP( APIF_Import!$O84 &amp; APIF_Import!$D$1,Podesavanja!$AA$3:$AD$28, 4, 0), 0)), ".", ","))</f>
        <v>873001</v>
      </c>
      <c r="E84" s="230">
        <f ca="1">IF( ISNA( VLOOKUP( APIF_Import!$O84 &amp; APIF_Import!$E$1,Podesavanja!$AA$3:$AD$28, 4, 0)), "", VLOOKUP( APIF_Import!$C84, INDIRECT( "Lookup_" &amp; APIF_Import!$O84), VLOOKUP( APIF_Import!$O84 &amp; APIF_Import!$E$1,Podesavanja!$AA$3:$AD$28, 4, 0), 0))</f>
        <v>20971</v>
      </c>
      <c r="F84" s="230" t="str">
        <f ca="1">IF( ISNA( VLOOKUP( APIF_Import!$O84 &amp; APIF_Import!$F$1,Podesavanja!$AA$3:$AD$28, 4, 0)), "", VLOOKUP( APIF_Import!$C84, INDIRECT( "Lookup_" &amp; APIF_Import!$O84), VLOOKUP( APIF_Import!$O84 &amp; APIF_Import!$F$1,Podesavanja!$AA$3:$AD$28, 4, 0), 0))</f>
        <v/>
      </c>
      <c r="G84" s="230" t="str">
        <f ca="1">IF( ISNA( VLOOKUP( APIF_Import!$O84 &amp; APIF_Import!$G$1,Podesavanja!$AA$3:$AD$28, 4, 0)), "", VLOOKUP( APIF_Import!$C84, INDIRECT( "Lookup_" &amp; APIF_Import!$O84), VLOOKUP( APIF_Import!$O84 &amp; APIF_Import!$G$1,Podesavanja!$AA$3:$AD$28, 4, 0), 0))</f>
        <v/>
      </c>
      <c r="H84" s="230" t="str">
        <f ca="1">IF( ISNA( VLOOKUP( APIF_Import!$O84 &amp; APIF_Import!$H$1,Podesavanja!$AA$3:$AD$28, 4, 0)), "", VLOOKUP( APIF_Import!$C84, INDIRECT( "Lookup_" &amp; APIF_Import!$O84), VLOOKUP( APIF_Import!$O84 &amp; APIF_Import!$H$1,Podesavanja!$AA$3:$AD$28, 4, 0), 0))</f>
        <v/>
      </c>
      <c r="I84" s="230" t="str">
        <f ca="1">IF( ISNA( VLOOKUP( APIF_Import!$O84 &amp; APIF_Import!$I$1,Podesavanja!$AA$3:$AD$28, 4, 0)), "", VLOOKUP( APIF_Import!$C84, INDIRECT( "Lookup_" &amp; APIF_Import!$M84:$O84), VLOOKUP( APIF_Import!$O84 &amp; APIF_Import!$I$1,Podesavanja!$AA$3:$AD$28, 4, 0), 0))</f>
        <v/>
      </c>
      <c r="J84" s="230" t="str">
        <f ca="1">IF( ISNA( VLOOKUP( APIF_Import!$O84 &amp; APIF_Import!$J$1,Podesavanja!$AA$3:$AD$28, 4, 0)), "", VLOOKUP( APIF_Import!$C84, INDIRECT( "Lookup_" &amp; APIF_Import!$M84:$O84), VLOOKUP( APIF_Import!$O84 &amp; APIF_Import!$J$1,Podesavanja!$AA$3:$AD$28, 4, 0), 0))</f>
        <v/>
      </c>
      <c r="K84" s="230" t="str">
        <f ca="1">IF( ISNA( VLOOKUP( APIF_Import!$O84 &amp; APIF_Import!$K$1,Podesavanja!$AA$3:$AD$28, 4, 0)), "", VLOOKUP( APIF_Import!$C84, INDIRECT( "Lookup_" &amp; APIF_Import!$M84:$O84), VLOOKUP( APIF_Import!$O84 &amp; APIF_Import!$K$1,Podesavanja!$AA$3:$AD$28, 4, 0), 0))</f>
        <v/>
      </c>
      <c r="L84" s="230" t="str">
        <f ca="1">IF( ISNA( VLOOKUP( APIF_Import!$O84 &amp; APIF_Import!$L$1,Podesavanja!$AA$3:$AD$28, 4, 0)), "", VLOOKUP( APIF_Import!$C84, INDIRECT( "Lookup_" &amp; APIF_Import!$M84:$O84), VLOOKUP( APIF_Import!$O84 &amp; APIF_Import!$L$1,Podesavanja!$AA$3:$AD$28, 4, 0), 0))</f>
        <v/>
      </c>
      <c r="M84" s="230" t="str">
        <f ca="1">IF( ISNA( VLOOKUP( APIF_Import!$O84 &amp; APIF_Import!$M$1,Podesavanja!$AA$3:$AD$28, 4, 0)), "", VLOOKUP( APIF_Import!$C84, INDIRECT( "Lookup_" &amp; APIF_Import!$M84:$O84), VLOOKUP( APIF_Import!$O84 &amp; APIF_Import!$M$1,Podesavanja!$AA$3:$AD$28, 4, 0), 0))</f>
        <v/>
      </c>
      <c r="N84" s="8">
        <v>83</v>
      </c>
      <c r="O84" s="230" t="s">
        <v>2896</v>
      </c>
    </row>
    <row r="85" spans="2:15">
      <c r="B85" s="44">
        <f ca="1">VLOOKUP( APIF_Import!$O85, Podesavanja!$N$3:$Q$9, 4, 0)</f>
        <v>2</v>
      </c>
      <c r="C85" s="229">
        <f ca="1">VLOOKUP( APIF_Import!$N85, Aop!$A$2:$P$456, 4, 0)</f>
        <v>117</v>
      </c>
      <c r="D85" s="230" t="str">
        <f ca="1">IF( ISNA( VLOOKUP( APIF_Import!$O85 &amp; APIF_Import!$D$1,Podesavanja!$AA$3:$AD$28, 4, 0)), "", SUBSTITUTE( VALUE( VLOOKUP( APIF_Import!$C85, INDIRECT( "Lookup_" &amp; APIF_Import!$O85), VLOOKUP( APIF_Import!$O85 &amp; APIF_Import!$D$1,Podesavanja!$AA$3:$AD$28, 4, 0), 0)), ".", ","))</f>
        <v>0</v>
      </c>
      <c r="E85" s="230">
        <f ca="1">IF( ISNA( VLOOKUP( APIF_Import!$O85 &amp; APIF_Import!$E$1,Podesavanja!$AA$3:$AD$28, 4, 0)), "", VLOOKUP( APIF_Import!$C85, INDIRECT( "Lookup_" &amp; APIF_Import!$O85), VLOOKUP( APIF_Import!$O85 &amp; APIF_Import!$E$1,Podesavanja!$AA$3:$AD$28, 4, 0), 0))</f>
        <v>0</v>
      </c>
      <c r="F85" s="230" t="str">
        <f ca="1">IF( ISNA( VLOOKUP( APIF_Import!$O85 &amp; APIF_Import!$F$1,Podesavanja!$AA$3:$AD$28, 4, 0)), "", VLOOKUP( APIF_Import!$C85, INDIRECT( "Lookup_" &amp; APIF_Import!$O85), VLOOKUP( APIF_Import!$O85 &amp; APIF_Import!$F$1,Podesavanja!$AA$3:$AD$28, 4, 0), 0))</f>
        <v/>
      </c>
      <c r="G85" s="230" t="str">
        <f ca="1">IF( ISNA( VLOOKUP( APIF_Import!$O85 &amp; APIF_Import!$G$1,Podesavanja!$AA$3:$AD$28, 4, 0)), "", VLOOKUP( APIF_Import!$C85, INDIRECT( "Lookup_" &amp; APIF_Import!$O85), VLOOKUP( APIF_Import!$O85 &amp; APIF_Import!$G$1,Podesavanja!$AA$3:$AD$28, 4, 0), 0))</f>
        <v/>
      </c>
      <c r="H85" s="230" t="str">
        <f ca="1">IF( ISNA( VLOOKUP( APIF_Import!$O85 &amp; APIF_Import!$H$1,Podesavanja!$AA$3:$AD$28, 4, 0)), "", VLOOKUP( APIF_Import!$C85, INDIRECT( "Lookup_" &amp; APIF_Import!$O85), VLOOKUP( APIF_Import!$O85 &amp; APIF_Import!$H$1,Podesavanja!$AA$3:$AD$28, 4, 0), 0))</f>
        <v/>
      </c>
      <c r="I85" s="230" t="str">
        <f ca="1">IF( ISNA( VLOOKUP( APIF_Import!$O85 &amp; APIF_Import!$I$1,Podesavanja!$AA$3:$AD$28, 4, 0)), "", VLOOKUP( APIF_Import!$C85, INDIRECT( "Lookup_" &amp; APIF_Import!$M85:$O85), VLOOKUP( APIF_Import!$O85 &amp; APIF_Import!$I$1,Podesavanja!$AA$3:$AD$28, 4, 0), 0))</f>
        <v/>
      </c>
      <c r="J85" s="230" t="str">
        <f ca="1">IF( ISNA( VLOOKUP( APIF_Import!$O85 &amp; APIF_Import!$J$1,Podesavanja!$AA$3:$AD$28, 4, 0)), "", VLOOKUP( APIF_Import!$C85, INDIRECT( "Lookup_" &amp; APIF_Import!$M85:$O85), VLOOKUP( APIF_Import!$O85 &amp; APIF_Import!$J$1,Podesavanja!$AA$3:$AD$28, 4, 0), 0))</f>
        <v/>
      </c>
      <c r="K85" s="230" t="str">
        <f ca="1">IF( ISNA( VLOOKUP( APIF_Import!$O85 &amp; APIF_Import!$K$1,Podesavanja!$AA$3:$AD$28, 4, 0)), "", VLOOKUP( APIF_Import!$C85, INDIRECT( "Lookup_" &amp; APIF_Import!$M85:$O85), VLOOKUP( APIF_Import!$O85 &amp; APIF_Import!$K$1,Podesavanja!$AA$3:$AD$28, 4, 0), 0))</f>
        <v/>
      </c>
      <c r="L85" s="230" t="str">
        <f ca="1">IF( ISNA( VLOOKUP( APIF_Import!$O85 &amp; APIF_Import!$L$1,Podesavanja!$AA$3:$AD$28, 4, 0)), "", VLOOKUP( APIF_Import!$C85, INDIRECT( "Lookup_" &amp; APIF_Import!$M85:$O85), VLOOKUP( APIF_Import!$O85 &amp; APIF_Import!$L$1,Podesavanja!$AA$3:$AD$28, 4, 0), 0))</f>
        <v/>
      </c>
      <c r="M85" s="230" t="str">
        <f ca="1">IF( ISNA( VLOOKUP( APIF_Import!$O85 &amp; APIF_Import!$M$1,Podesavanja!$AA$3:$AD$28, 4, 0)), "", VLOOKUP( APIF_Import!$C85, INDIRECT( "Lookup_" &amp; APIF_Import!$M85:$O85), VLOOKUP( APIF_Import!$O85 &amp; APIF_Import!$M$1,Podesavanja!$AA$3:$AD$28, 4, 0), 0))</f>
        <v/>
      </c>
      <c r="N85" s="8">
        <v>84</v>
      </c>
      <c r="O85" s="230" t="s">
        <v>2896</v>
      </c>
    </row>
    <row r="86" spans="2:15">
      <c r="B86" s="44">
        <f ca="1">VLOOKUP( APIF_Import!$O86, Podesavanja!$N$3:$Q$9, 4, 0)</f>
        <v>2</v>
      </c>
      <c r="C86" s="229">
        <f ca="1">VLOOKUP( APIF_Import!$N86, Aop!$A$2:$P$456, 4, 0)</f>
        <v>118</v>
      </c>
      <c r="D86" s="230" t="str">
        <f ca="1">IF( ISNA( VLOOKUP( APIF_Import!$O86 &amp; APIF_Import!$D$1,Podesavanja!$AA$3:$AD$28, 4, 0)), "", SUBSTITUTE( VALUE( VLOOKUP( APIF_Import!$C86, INDIRECT( "Lookup_" &amp; APIF_Import!$O86), VLOOKUP( APIF_Import!$O86 &amp; APIF_Import!$D$1,Podesavanja!$AA$3:$AD$28, 4, 0), 0)), ".", ","))</f>
        <v>0</v>
      </c>
      <c r="E86" s="230">
        <f ca="1">IF( ISNA( VLOOKUP( APIF_Import!$O86 &amp; APIF_Import!$E$1,Podesavanja!$AA$3:$AD$28, 4, 0)), "", VLOOKUP( APIF_Import!$C86, INDIRECT( "Lookup_" &amp; APIF_Import!$O86), VLOOKUP( APIF_Import!$O86 &amp; APIF_Import!$E$1,Podesavanja!$AA$3:$AD$28, 4, 0), 0))</f>
        <v>0</v>
      </c>
      <c r="F86" s="230" t="str">
        <f ca="1">IF( ISNA( VLOOKUP( APIF_Import!$O86 &amp; APIF_Import!$F$1,Podesavanja!$AA$3:$AD$28, 4, 0)), "", VLOOKUP( APIF_Import!$C86, INDIRECT( "Lookup_" &amp; APIF_Import!$O86), VLOOKUP( APIF_Import!$O86 &amp; APIF_Import!$F$1,Podesavanja!$AA$3:$AD$28, 4, 0), 0))</f>
        <v/>
      </c>
      <c r="G86" s="230" t="str">
        <f ca="1">IF( ISNA( VLOOKUP( APIF_Import!$O86 &amp; APIF_Import!$G$1,Podesavanja!$AA$3:$AD$28, 4, 0)), "", VLOOKUP( APIF_Import!$C86, INDIRECT( "Lookup_" &amp; APIF_Import!$O86), VLOOKUP( APIF_Import!$O86 &amp; APIF_Import!$G$1,Podesavanja!$AA$3:$AD$28, 4, 0), 0))</f>
        <v/>
      </c>
      <c r="H86" s="230" t="str">
        <f ca="1">IF( ISNA( VLOOKUP( APIF_Import!$O86 &amp; APIF_Import!$H$1,Podesavanja!$AA$3:$AD$28, 4, 0)), "", VLOOKUP( APIF_Import!$C86, INDIRECT( "Lookup_" &amp; APIF_Import!$O86), VLOOKUP( APIF_Import!$O86 &amp; APIF_Import!$H$1,Podesavanja!$AA$3:$AD$28, 4, 0), 0))</f>
        <v/>
      </c>
      <c r="I86" s="230" t="str">
        <f ca="1">IF( ISNA( VLOOKUP( APIF_Import!$O86 &amp; APIF_Import!$I$1,Podesavanja!$AA$3:$AD$28, 4, 0)), "", VLOOKUP( APIF_Import!$C86, INDIRECT( "Lookup_" &amp; APIF_Import!$M86:$O86), VLOOKUP( APIF_Import!$O86 &amp; APIF_Import!$I$1,Podesavanja!$AA$3:$AD$28, 4, 0), 0))</f>
        <v/>
      </c>
      <c r="J86" s="230" t="str">
        <f ca="1">IF( ISNA( VLOOKUP( APIF_Import!$O86 &amp; APIF_Import!$J$1,Podesavanja!$AA$3:$AD$28, 4, 0)), "", VLOOKUP( APIF_Import!$C86, INDIRECT( "Lookup_" &amp; APIF_Import!$M86:$O86), VLOOKUP( APIF_Import!$O86 &amp; APIF_Import!$J$1,Podesavanja!$AA$3:$AD$28, 4, 0), 0))</f>
        <v/>
      </c>
      <c r="K86" s="230" t="str">
        <f ca="1">IF( ISNA( VLOOKUP( APIF_Import!$O86 &amp; APIF_Import!$K$1,Podesavanja!$AA$3:$AD$28, 4, 0)), "", VLOOKUP( APIF_Import!$C86, INDIRECT( "Lookup_" &amp; APIF_Import!$M86:$O86), VLOOKUP( APIF_Import!$O86 &amp; APIF_Import!$K$1,Podesavanja!$AA$3:$AD$28, 4, 0), 0))</f>
        <v/>
      </c>
      <c r="L86" s="230" t="str">
        <f ca="1">IF( ISNA( VLOOKUP( APIF_Import!$O86 &amp; APIF_Import!$L$1,Podesavanja!$AA$3:$AD$28, 4, 0)), "", VLOOKUP( APIF_Import!$C86, INDIRECT( "Lookup_" &amp; APIF_Import!$M86:$O86), VLOOKUP( APIF_Import!$O86 &amp; APIF_Import!$L$1,Podesavanja!$AA$3:$AD$28, 4, 0), 0))</f>
        <v/>
      </c>
      <c r="M86" s="230" t="str">
        <f ca="1">IF( ISNA( VLOOKUP( APIF_Import!$O86 &amp; APIF_Import!$M$1,Podesavanja!$AA$3:$AD$28, 4, 0)), "", VLOOKUP( APIF_Import!$C86, INDIRECT( "Lookup_" &amp; APIF_Import!$M86:$O86), VLOOKUP( APIF_Import!$O86 &amp; APIF_Import!$M$1,Podesavanja!$AA$3:$AD$28, 4, 0), 0))</f>
        <v/>
      </c>
      <c r="N86" s="8">
        <v>85</v>
      </c>
      <c r="O86" s="230" t="s">
        <v>2896</v>
      </c>
    </row>
    <row r="87" spans="2:15">
      <c r="B87" s="44">
        <f ca="1">VLOOKUP( APIF_Import!$O87, Podesavanja!$N$3:$Q$9, 4, 0)</f>
        <v>2</v>
      </c>
      <c r="C87" s="229">
        <f ca="1">VLOOKUP( APIF_Import!$N87, Aop!$A$2:$P$456, 4, 0)</f>
        <v>119</v>
      </c>
      <c r="D87" s="230" t="str">
        <f ca="1">IF( ISNA( VLOOKUP( APIF_Import!$O87 &amp; APIF_Import!$D$1,Podesavanja!$AA$3:$AD$28, 4, 0)), "", SUBSTITUTE( VALUE( VLOOKUP( APIF_Import!$C87, INDIRECT( "Lookup_" &amp; APIF_Import!$O87), VLOOKUP( APIF_Import!$O87 &amp; APIF_Import!$D$1,Podesavanja!$AA$3:$AD$28, 4, 0), 0)), ".", ","))</f>
        <v>938788</v>
      </c>
      <c r="E87" s="230">
        <f ca="1">IF( ISNA( VLOOKUP( APIF_Import!$O87 &amp; APIF_Import!$E$1,Podesavanja!$AA$3:$AD$28, 4, 0)), "", VLOOKUP( APIF_Import!$C87, INDIRECT( "Lookup_" &amp; APIF_Import!$O87), VLOOKUP( APIF_Import!$O87 &amp; APIF_Import!$E$1,Podesavanja!$AA$3:$AD$28, 4, 0), 0))</f>
        <v>15495786</v>
      </c>
      <c r="F87" s="230" t="str">
        <f ca="1">IF( ISNA( VLOOKUP( APIF_Import!$O87 &amp; APIF_Import!$F$1,Podesavanja!$AA$3:$AD$28, 4, 0)), "", VLOOKUP( APIF_Import!$C87, INDIRECT( "Lookup_" &amp; APIF_Import!$O87), VLOOKUP( APIF_Import!$O87 &amp; APIF_Import!$F$1,Podesavanja!$AA$3:$AD$28, 4, 0), 0))</f>
        <v/>
      </c>
      <c r="G87" s="230" t="str">
        <f ca="1">IF( ISNA( VLOOKUP( APIF_Import!$O87 &amp; APIF_Import!$G$1,Podesavanja!$AA$3:$AD$28, 4, 0)), "", VLOOKUP( APIF_Import!$C87, INDIRECT( "Lookup_" &amp; APIF_Import!$O87), VLOOKUP( APIF_Import!$O87 &amp; APIF_Import!$G$1,Podesavanja!$AA$3:$AD$28, 4, 0), 0))</f>
        <v/>
      </c>
      <c r="H87" s="230" t="str">
        <f ca="1">IF( ISNA( VLOOKUP( APIF_Import!$O87 &amp; APIF_Import!$H$1,Podesavanja!$AA$3:$AD$28, 4, 0)), "", VLOOKUP( APIF_Import!$C87, INDIRECT( "Lookup_" &amp; APIF_Import!$O87), VLOOKUP( APIF_Import!$O87 &amp; APIF_Import!$H$1,Podesavanja!$AA$3:$AD$28, 4, 0), 0))</f>
        <v/>
      </c>
      <c r="I87" s="230" t="str">
        <f ca="1">IF( ISNA( VLOOKUP( APIF_Import!$O87 &amp; APIF_Import!$I$1,Podesavanja!$AA$3:$AD$28, 4, 0)), "", VLOOKUP( APIF_Import!$C87, INDIRECT( "Lookup_" &amp; APIF_Import!$M87:$O87), VLOOKUP( APIF_Import!$O87 &amp; APIF_Import!$I$1,Podesavanja!$AA$3:$AD$28, 4, 0), 0))</f>
        <v/>
      </c>
      <c r="J87" s="230" t="str">
        <f ca="1">IF( ISNA( VLOOKUP( APIF_Import!$O87 &amp; APIF_Import!$J$1,Podesavanja!$AA$3:$AD$28, 4, 0)), "", VLOOKUP( APIF_Import!$C87, INDIRECT( "Lookup_" &amp; APIF_Import!$M87:$O87), VLOOKUP( APIF_Import!$O87 &amp; APIF_Import!$J$1,Podesavanja!$AA$3:$AD$28, 4, 0), 0))</f>
        <v/>
      </c>
      <c r="K87" s="230" t="str">
        <f ca="1">IF( ISNA( VLOOKUP( APIF_Import!$O87 &amp; APIF_Import!$K$1,Podesavanja!$AA$3:$AD$28, 4, 0)), "", VLOOKUP( APIF_Import!$C87, INDIRECT( "Lookup_" &amp; APIF_Import!$M87:$O87), VLOOKUP( APIF_Import!$O87 &amp; APIF_Import!$K$1,Podesavanja!$AA$3:$AD$28, 4, 0), 0))</f>
        <v/>
      </c>
      <c r="L87" s="230" t="str">
        <f ca="1">IF( ISNA( VLOOKUP( APIF_Import!$O87 &amp; APIF_Import!$L$1,Podesavanja!$AA$3:$AD$28, 4, 0)), "", VLOOKUP( APIF_Import!$C87, INDIRECT( "Lookup_" &amp; APIF_Import!$M87:$O87), VLOOKUP( APIF_Import!$O87 &amp; APIF_Import!$L$1,Podesavanja!$AA$3:$AD$28, 4, 0), 0))</f>
        <v/>
      </c>
      <c r="M87" s="230" t="str">
        <f ca="1">IF( ISNA( VLOOKUP( APIF_Import!$O87 &amp; APIF_Import!$M$1,Podesavanja!$AA$3:$AD$28, 4, 0)), "", VLOOKUP( APIF_Import!$C87, INDIRECT( "Lookup_" &amp; APIF_Import!$M87:$O87), VLOOKUP( APIF_Import!$O87 &amp; APIF_Import!$M$1,Podesavanja!$AA$3:$AD$28, 4, 0), 0))</f>
        <v/>
      </c>
      <c r="N87" s="8">
        <v>86</v>
      </c>
      <c r="O87" s="230" t="s">
        <v>2896</v>
      </c>
    </row>
    <row r="88" spans="2:15">
      <c r="B88" s="44">
        <f ca="1">VLOOKUP( APIF_Import!$O88, Podesavanja!$N$3:$Q$9, 4, 0)</f>
        <v>2</v>
      </c>
      <c r="C88" s="229">
        <f ca="1">VLOOKUP( APIF_Import!$N88, Aop!$A$2:$P$456, 4, 0)</f>
        <v>120</v>
      </c>
      <c r="D88" s="230" t="str">
        <f ca="1">IF( ISNA( VLOOKUP( APIF_Import!$O88 &amp; APIF_Import!$D$1,Podesavanja!$AA$3:$AD$28, 4, 0)), "", SUBSTITUTE( VALUE( VLOOKUP( APIF_Import!$C88, INDIRECT( "Lookup_" &amp; APIF_Import!$O88), VLOOKUP( APIF_Import!$O88 &amp; APIF_Import!$D$1,Podesavanja!$AA$3:$AD$28, 4, 0), 0)), ".", ","))</f>
        <v>0</v>
      </c>
      <c r="E88" s="230">
        <f ca="1">IF( ISNA( VLOOKUP( APIF_Import!$O88 &amp; APIF_Import!$E$1,Podesavanja!$AA$3:$AD$28, 4, 0)), "", VLOOKUP( APIF_Import!$C88, INDIRECT( "Lookup_" &amp; APIF_Import!$O88), VLOOKUP( APIF_Import!$O88 &amp; APIF_Import!$E$1,Podesavanja!$AA$3:$AD$28, 4, 0), 0))</f>
        <v>0</v>
      </c>
      <c r="F88" s="230" t="str">
        <f ca="1">IF( ISNA( VLOOKUP( APIF_Import!$O88 &amp; APIF_Import!$F$1,Podesavanja!$AA$3:$AD$28, 4, 0)), "", VLOOKUP( APIF_Import!$C88, INDIRECT( "Lookup_" &amp; APIF_Import!$O88), VLOOKUP( APIF_Import!$O88 &amp; APIF_Import!$F$1,Podesavanja!$AA$3:$AD$28, 4, 0), 0))</f>
        <v/>
      </c>
      <c r="G88" s="230" t="str">
        <f ca="1">IF( ISNA( VLOOKUP( APIF_Import!$O88 &amp; APIF_Import!$G$1,Podesavanja!$AA$3:$AD$28, 4, 0)), "", VLOOKUP( APIF_Import!$C88, INDIRECT( "Lookup_" &amp; APIF_Import!$O88), VLOOKUP( APIF_Import!$O88 &amp; APIF_Import!$G$1,Podesavanja!$AA$3:$AD$28, 4, 0), 0))</f>
        <v/>
      </c>
      <c r="H88" s="230" t="str">
        <f ca="1">IF( ISNA( VLOOKUP( APIF_Import!$O88 &amp; APIF_Import!$H$1,Podesavanja!$AA$3:$AD$28, 4, 0)), "", VLOOKUP( APIF_Import!$C88, INDIRECT( "Lookup_" &amp; APIF_Import!$O88), VLOOKUP( APIF_Import!$O88 &amp; APIF_Import!$H$1,Podesavanja!$AA$3:$AD$28, 4, 0), 0))</f>
        <v/>
      </c>
      <c r="I88" s="230" t="str">
        <f ca="1">IF( ISNA( VLOOKUP( APIF_Import!$O88 &amp; APIF_Import!$I$1,Podesavanja!$AA$3:$AD$28, 4, 0)), "", VLOOKUP( APIF_Import!$C88, INDIRECT( "Lookup_" &amp; APIF_Import!$M88:$O88), VLOOKUP( APIF_Import!$O88 &amp; APIF_Import!$I$1,Podesavanja!$AA$3:$AD$28, 4, 0), 0))</f>
        <v/>
      </c>
      <c r="J88" s="230" t="str">
        <f ca="1">IF( ISNA( VLOOKUP( APIF_Import!$O88 &amp; APIF_Import!$J$1,Podesavanja!$AA$3:$AD$28, 4, 0)), "", VLOOKUP( APIF_Import!$C88, INDIRECT( "Lookup_" &amp; APIF_Import!$M88:$O88), VLOOKUP( APIF_Import!$O88 &amp; APIF_Import!$J$1,Podesavanja!$AA$3:$AD$28, 4, 0), 0))</f>
        <v/>
      </c>
      <c r="K88" s="230" t="str">
        <f ca="1">IF( ISNA( VLOOKUP( APIF_Import!$O88 &amp; APIF_Import!$K$1,Podesavanja!$AA$3:$AD$28, 4, 0)), "", VLOOKUP( APIF_Import!$C88, INDIRECT( "Lookup_" &amp; APIF_Import!$M88:$O88), VLOOKUP( APIF_Import!$O88 &amp; APIF_Import!$K$1,Podesavanja!$AA$3:$AD$28, 4, 0), 0))</f>
        <v/>
      </c>
      <c r="L88" s="230" t="str">
        <f ca="1">IF( ISNA( VLOOKUP( APIF_Import!$O88 &amp; APIF_Import!$L$1,Podesavanja!$AA$3:$AD$28, 4, 0)), "", VLOOKUP( APIF_Import!$C88, INDIRECT( "Lookup_" &amp; APIF_Import!$M88:$O88), VLOOKUP( APIF_Import!$O88 &amp; APIF_Import!$L$1,Podesavanja!$AA$3:$AD$28, 4, 0), 0))</f>
        <v/>
      </c>
      <c r="M88" s="230" t="str">
        <f ca="1">IF( ISNA( VLOOKUP( APIF_Import!$O88 &amp; APIF_Import!$M$1,Podesavanja!$AA$3:$AD$28, 4, 0)), "", VLOOKUP( APIF_Import!$C88, INDIRECT( "Lookup_" &amp; APIF_Import!$M88:$O88), VLOOKUP( APIF_Import!$O88 &amp; APIF_Import!$M$1,Podesavanja!$AA$3:$AD$28, 4, 0), 0))</f>
        <v/>
      </c>
      <c r="N88" s="8">
        <v>87</v>
      </c>
      <c r="O88" s="230" t="s">
        <v>2896</v>
      </c>
    </row>
    <row r="89" spans="2:15">
      <c r="B89" s="44">
        <f ca="1">VLOOKUP( APIF_Import!$O89, Podesavanja!$N$3:$Q$9, 4, 0)</f>
        <v>2</v>
      </c>
      <c r="C89" s="229">
        <f ca="1">VLOOKUP( APIF_Import!$N89, Aop!$A$2:$P$456, 4, 0)</f>
        <v>121</v>
      </c>
      <c r="D89" s="230" t="str">
        <f ca="1">IF( ISNA( VLOOKUP( APIF_Import!$O89 &amp; APIF_Import!$D$1,Podesavanja!$AA$3:$AD$28, 4, 0)), "", SUBSTITUTE( VALUE( VLOOKUP( APIF_Import!$C89, INDIRECT( "Lookup_" &amp; APIF_Import!$O89), VLOOKUP( APIF_Import!$O89 &amp; APIF_Import!$D$1,Podesavanja!$AA$3:$AD$28, 4, 0), 0)), ".", ","))</f>
        <v>938788</v>
      </c>
      <c r="E89" s="230">
        <f ca="1">IF( ISNA( VLOOKUP( APIF_Import!$O89 &amp; APIF_Import!$E$1,Podesavanja!$AA$3:$AD$28, 4, 0)), "", VLOOKUP( APIF_Import!$C89, INDIRECT( "Lookup_" &amp; APIF_Import!$O89), VLOOKUP( APIF_Import!$O89 &amp; APIF_Import!$E$1,Podesavanja!$AA$3:$AD$28, 4, 0), 0))</f>
        <v>15495786</v>
      </c>
      <c r="F89" s="230" t="str">
        <f ca="1">IF( ISNA( VLOOKUP( APIF_Import!$O89 &amp; APIF_Import!$F$1,Podesavanja!$AA$3:$AD$28, 4, 0)), "", VLOOKUP( APIF_Import!$C89, INDIRECT( "Lookup_" &amp; APIF_Import!$O89), VLOOKUP( APIF_Import!$O89 &amp; APIF_Import!$F$1,Podesavanja!$AA$3:$AD$28, 4, 0), 0))</f>
        <v/>
      </c>
      <c r="G89" s="230" t="str">
        <f ca="1">IF( ISNA( VLOOKUP( APIF_Import!$O89 &amp; APIF_Import!$G$1,Podesavanja!$AA$3:$AD$28, 4, 0)), "", VLOOKUP( APIF_Import!$C89, INDIRECT( "Lookup_" &amp; APIF_Import!$O89), VLOOKUP( APIF_Import!$O89 &amp; APIF_Import!$G$1,Podesavanja!$AA$3:$AD$28, 4, 0), 0))</f>
        <v/>
      </c>
      <c r="H89" s="230" t="str">
        <f ca="1">IF( ISNA( VLOOKUP( APIF_Import!$O89 &amp; APIF_Import!$H$1,Podesavanja!$AA$3:$AD$28, 4, 0)), "", VLOOKUP( APIF_Import!$C89, INDIRECT( "Lookup_" &amp; APIF_Import!$O89), VLOOKUP( APIF_Import!$O89 &amp; APIF_Import!$H$1,Podesavanja!$AA$3:$AD$28, 4, 0), 0))</f>
        <v/>
      </c>
      <c r="I89" s="230" t="str">
        <f ca="1">IF( ISNA( VLOOKUP( APIF_Import!$O89 &amp; APIF_Import!$I$1,Podesavanja!$AA$3:$AD$28, 4, 0)), "", VLOOKUP( APIF_Import!$C89, INDIRECT( "Lookup_" &amp; APIF_Import!$M89:$O89), VLOOKUP( APIF_Import!$O89 &amp; APIF_Import!$I$1,Podesavanja!$AA$3:$AD$28, 4, 0), 0))</f>
        <v/>
      </c>
      <c r="J89" s="230" t="str">
        <f ca="1">IF( ISNA( VLOOKUP( APIF_Import!$O89 &amp; APIF_Import!$J$1,Podesavanja!$AA$3:$AD$28, 4, 0)), "", VLOOKUP( APIF_Import!$C89, INDIRECT( "Lookup_" &amp; APIF_Import!$M89:$O89), VLOOKUP( APIF_Import!$O89 &amp; APIF_Import!$J$1,Podesavanja!$AA$3:$AD$28, 4, 0), 0))</f>
        <v/>
      </c>
      <c r="K89" s="230" t="str">
        <f ca="1">IF( ISNA( VLOOKUP( APIF_Import!$O89 &amp; APIF_Import!$K$1,Podesavanja!$AA$3:$AD$28, 4, 0)), "", VLOOKUP( APIF_Import!$C89, INDIRECT( "Lookup_" &amp; APIF_Import!$M89:$O89), VLOOKUP( APIF_Import!$O89 &amp; APIF_Import!$K$1,Podesavanja!$AA$3:$AD$28, 4, 0), 0))</f>
        <v/>
      </c>
      <c r="L89" s="230" t="str">
        <f ca="1">IF( ISNA( VLOOKUP( APIF_Import!$O89 &amp; APIF_Import!$L$1,Podesavanja!$AA$3:$AD$28, 4, 0)), "", VLOOKUP( APIF_Import!$C89, INDIRECT( "Lookup_" &amp; APIF_Import!$M89:$O89), VLOOKUP( APIF_Import!$O89 &amp; APIF_Import!$L$1,Podesavanja!$AA$3:$AD$28, 4, 0), 0))</f>
        <v/>
      </c>
      <c r="M89" s="230" t="str">
        <f ca="1">IF( ISNA( VLOOKUP( APIF_Import!$O89 &amp; APIF_Import!$M$1,Podesavanja!$AA$3:$AD$28, 4, 0)), "", VLOOKUP( APIF_Import!$C89, INDIRECT( "Lookup_" &amp; APIF_Import!$M89:$O89), VLOOKUP( APIF_Import!$O89 &amp; APIF_Import!$M$1,Podesavanja!$AA$3:$AD$28, 4, 0), 0))</f>
        <v/>
      </c>
      <c r="N89" s="8">
        <v>88</v>
      </c>
      <c r="O89" s="230" t="s">
        <v>2896</v>
      </c>
    </row>
    <row r="90" spans="2:15">
      <c r="B90" s="44">
        <f ca="1">VLOOKUP( APIF_Import!$O90, Podesavanja!$N$3:$Q$9, 4, 0)</f>
        <v>2</v>
      </c>
      <c r="C90" s="229">
        <f ca="1">VLOOKUP( APIF_Import!$N90, Aop!$A$2:$P$456, 4, 0)</f>
        <v>122</v>
      </c>
      <c r="D90" s="230" t="str">
        <f ca="1">IF( ISNA( VLOOKUP( APIF_Import!$O90 &amp; APIF_Import!$D$1,Podesavanja!$AA$3:$AD$28, 4, 0)), "", SUBSTITUTE( VALUE( VLOOKUP( APIF_Import!$C90, INDIRECT( "Lookup_" &amp; APIF_Import!$O90), VLOOKUP( APIF_Import!$O90 &amp; APIF_Import!$D$1,Podesavanja!$AA$3:$AD$28, 4, 0), 0)), ".", ","))</f>
        <v>0</v>
      </c>
      <c r="E90" s="230">
        <f ca="1">IF( ISNA( VLOOKUP( APIF_Import!$O90 &amp; APIF_Import!$E$1,Podesavanja!$AA$3:$AD$28, 4, 0)), "", VLOOKUP( APIF_Import!$C90, INDIRECT( "Lookup_" &amp; APIF_Import!$O90), VLOOKUP( APIF_Import!$O90 &amp; APIF_Import!$E$1,Podesavanja!$AA$3:$AD$28, 4, 0), 0))</f>
        <v>0</v>
      </c>
      <c r="F90" s="230" t="str">
        <f ca="1">IF( ISNA( VLOOKUP( APIF_Import!$O90 &amp; APIF_Import!$F$1,Podesavanja!$AA$3:$AD$28, 4, 0)), "", VLOOKUP( APIF_Import!$C90, INDIRECT( "Lookup_" &amp; APIF_Import!$O90), VLOOKUP( APIF_Import!$O90 &amp; APIF_Import!$F$1,Podesavanja!$AA$3:$AD$28, 4, 0), 0))</f>
        <v/>
      </c>
      <c r="G90" s="230" t="str">
        <f ca="1">IF( ISNA( VLOOKUP( APIF_Import!$O90 &amp; APIF_Import!$G$1,Podesavanja!$AA$3:$AD$28, 4, 0)), "", VLOOKUP( APIF_Import!$C90, INDIRECT( "Lookup_" &amp; APIF_Import!$O90), VLOOKUP( APIF_Import!$O90 &amp; APIF_Import!$G$1,Podesavanja!$AA$3:$AD$28, 4, 0), 0))</f>
        <v/>
      </c>
      <c r="H90" s="230" t="str">
        <f ca="1">IF( ISNA( VLOOKUP( APIF_Import!$O90 &amp; APIF_Import!$H$1,Podesavanja!$AA$3:$AD$28, 4, 0)), "", VLOOKUP( APIF_Import!$C90, INDIRECT( "Lookup_" &amp; APIF_Import!$O90), VLOOKUP( APIF_Import!$O90 &amp; APIF_Import!$H$1,Podesavanja!$AA$3:$AD$28, 4, 0), 0))</f>
        <v/>
      </c>
      <c r="I90" s="230" t="str">
        <f ca="1">IF( ISNA( VLOOKUP( APIF_Import!$O90 &amp; APIF_Import!$I$1,Podesavanja!$AA$3:$AD$28, 4, 0)), "", VLOOKUP( APIF_Import!$C90, INDIRECT( "Lookup_" &amp; APIF_Import!$M90:$O90), VLOOKUP( APIF_Import!$O90 &amp; APIF_Import!$I$1,Podesavanja!$AA$3:$AD$28, 4, 0), 0))</f>
        <v/>
      </c>
      <c r="J90" s="230" t="str">
        <f ca="1">IF( ISNA( VLOOKUP( APIF_Import!$O90 &amp; APIF_Import!$J$1,Podesavanja!$AA$3:$AD$28, 4, 0)), "", VLOOKUP( APIF_Import!$C90, INDIRECT( "Lookup_" &amp; APIF_Import!$M90:$O90), VLOOKUP( APIF_Import!$O90 &amp; APIF_Import!$J$1,Podesavanja!$AA$3:$AD$28, 4, 0), 0))</f>
        <v/>
      </c>
      <c r="K90" s="230" t="str">
        <f ca="1">IF( ISNA( VLOOKUP( APIF_Import!$O90 &amp; APIF_Import!$K$1,Podesavanja!$AA$3:$AD$28, 4, 0)), "", VLOOKUP( APIF_Import!$C90, INDIRECT( "Lookup_" &amp; APIF_Import!$M90:$O90), VLOOKUP( APIF_Import!$O90 &amp; APIF_Import!$K$1,Podesavanja!$AA$3:$AD$28, 4, 0), 0))</f>
        <v/>
      </c>
      <c r="L90" s="230" t="str">
        <f ca="1">IF( ISNA( VLOOKUP( APIF_Import!$O90 &amp; APIF_Import!$L$1,Podesavanja!$AA$3:$AD$28, 4, 0)), "", VLOOKUP( APIF_Import!$C90, INDIRECT( "Lookup_" &amp; APIF_Import!$M90:$O90), VLOOKUP( APIF_Import!$O90 &amp; APIF_Import!$L$1,Podesavanja!$AA$3:$AD$28, 4, 0), 0))</f>
        <v/>
      </c>
      <c r="M90" s="230" t="str">
        <f ca="1">IF( ISNA( VLOOKUP( APIF_Import!$O90 &amp; APIF_Import!$M$1,Podesavanja!$AA$3:$AD$28, 4, 0)), "", VLOOKUP( APIF_Import!$C90, INDIRECT( "Lookup_" &amp; APIF_Import!$M90:$O90), VLOOKUP( APIF_Import!$O90 &amp; APIF_Import!$M$1,Podesavanja!$AA$3:$AD$28, 4, 0), 0))</f>
        <v/>
      </c>
      <c r="N90" s="8">
        <v>89</v>
      </c>
      <c r="O90" s="230" t="s">
        <v>2896</v>
      </c>
    </row>
    <row r="91" spans="2:15">
      <c r="B91" s="44">
        <f ca="1">VLOOKUP( APIF_Import!$O91, Podesavanja!$N$3:$Q$9, 4, 0)</f>
        <v>2</v>
      </c>
      <c r="C91" s="229">
        <f ca="1">VLOOKUP( APIF_Import!$N91, Aop!$A$2:$P$456, 4, 0)</f>
        <v>123</v>
      </c>
      <c r="D91" s="230" t="str">
        <f ca="1">IF( ISNA( VLOOKUP( APIF_Import!$O91 &amp; APIF_Import!$D$1,Podesavanja!$AA$3:$AD$28, 4, 0)), "", SUBSTITUTE( VALUE( VLOOKUP( APIF_Import!$C91, INDIRECT( "Lookup_" &amp; APIF_Import!$O91), VLOOKUP( APIF_Import!$O91 &amp; APIF_Import!$D$1,Podesavanja!$AA$3:$AD$28, 4, 0), 0)), ".", ","))</f>
        <v>0</v>
      </c>
      <c r="E91" s="230">
        <f ca="1">IF( ISNA( VLOOKUP( APIF_Import!$O91 &amp; APIF_Import!$E$1,Podesavanja!$AA$3:$AD$28, 4, 0)), "", VLOOKUP( APIF_Import!$C91, INDIRECT( "Lookup_" &amp; APIF_Import!$O91), VLOOKUP( APIF_Import!$O91 &amp; APIF_Import!$E$1,Podesavanja!$AA$3:$AD$28, 4, 0), 0))</f>
        <v>0</v>
      </c>
      <c r="F91" s="230" t="str">
        <f ca="1">IF( ISNA( VLOOKUP( APIF_Import!$O91 &amp; APIF_Import!$F$1,Podesavanja!$AA$3:$AD$28, 4, 0)), "", VLOOKUP( APIF_Import!$C91, INDIRECT( "Lookup_" &amp; APIF_Import!$O91), VLOOKUP( APIF_Import!$O91 &amp; APIF_Import!$F$1,Podesavanja!$AA$3:$AD$28, 4, 0), 0))</f>
        <v/>
      </c>
      <c r="G91" s="230" t="str">
        <f ca="1">IF( ISNA( VLOOKUP( APIF_Import!$O91 &amp; APIF_Import!$G$1,Podesavanja!$AA$3:$AD$28, 4, 0)), "", VLOOKUP( APIF_Import!$C91, INDIRECT( "Lookup_" &amp; APIF_Import!$O91), VLOOKUP( APIF_Import!$O91 &amp; APIF_Import!$G$1,Podesavanja!$AA$3:$AD$28, 4, 0), 0))</f>
        <v/>
      </c>
      <c r="H91" s="230" t="str">
        <f ca="1">IF( ISNA( VLOOKUP( APIF_Import!$O91 &amp; APIF_Import!$H$1,Podesavanja!$AA$3:$AD$28, 4, 0)), "", VLOOKUP( APIF_Import!$C91, INDIRECT( "Lookup_" &amp; APIF_Import!$O91), VLOOKUP( APIF_Import!$O91 &amp; APIF_Import!$H$1,Podesavanja!$AA$3:$AD$28, 4, 0), 0))</f>
        <v/>
      </c>
      <c r="I91" s="230" t="str">
        <f ca="1">IF( ISNA( VLOOKUP( APIF_Import!$O91 &amp; APIF_Import!$I$1,Podesavanja!$AA$3:$AD$28, 4, 0)), "", VLOOKUP( APIF_Import!$C91, INDIRECT( "Lookup_" &amp; APIF_Import!$M91:$O91), VLOOKUP( APIF_Import!$O91 &amp; APIF_Import!$I$1,Podesavanja!$AA$3:$AD$28, 4, 0), 0))</f>
        <v/>
      </c>
      <c r="J91" s="230" t="str">
        <f ca="1">IF( ISNA( VLOOKUP( APIF_Import!$O91 &amp; APIF_Import!$J$1,Podesavanja!$AA$3:$AD$28, 4, 0)), "", VLOOKUP( APIF_Import!$C91, INDIRECT( "Lookup_" &amp; APIF_Import!$M91:$O91), VLOOKUP( APIF_Import!$O91 &amp; APIF_Import!$J$1,Podesavanja!$AA$3:$AD$28, 4, 0), 0))</f>
        <v/>
      </c>
      <c r="K91" s="230" t="str">
        <f ca="1">IF( ISNA( VLOOKUP( APIF_Import!$O91 &amp; APIF_Import!$K$1,Podesavanja!$AA$3:$AD$28, 4, 0)), "", VLOOKUP( APIF_Import!$C91, INDIRECT( "Lookup_" &amp; APIF_Import!$M91:$O91), VLOOKUP( APIF_Import!$O91 &amp; APIF_Import!$K$1,Podesavanja!$AA$3:$AD$28, 4, 0), 0))</f>
        <v/>
      </c>
      <c r="L91" s="230" t="str">
        <f ca="1">IF( ISNA( VLOOKUP( APIF_Import!$O91 &amp; APIF_Import!$L$1,Podesavanja!$AA$3:$AD$28, 4, 0)), "", VLOOKUP( APIF_Import!$C91, INDIRECT( "Lookup_" &amp; APIF_Import!$M91:$O91), VLOOKUP( APIF_Import!$O91 &amp; APIF_Import!$L$1,Podesavanja!$AA$3:$AD$28, 4, 0), 0))</f>
        <v/>
      </c>
      <c r="M91" s="230" t="str">
        <f ca="1">IF( ISNA( VLOOKUP( APIF_Import!$O91 &amp; APIF_Import!$M$1,Podesavanja!$AA$3:$AD$28, 4, 0)), "", VLOOKUP( APIF_Import!$C91, INDIRECT( "Lookup_" &amp; APIF_Import!$M91:$O91), VLOOKUP( APIF_Import!$O91 &amp; APIF_Import!$M$1,Podesavanja!$AA$3:$AD$28, 4, 0), 0))</f>
        <v/>
      </c>
      <c r="N91" s="8">
        <v>90</v>
      </c>
      <c r="O91" s="230" t="s">
        <v>2896</v>
      </c>
    </row>
    <row r="92" spans="2:15">
      <c r="B92" s="44">
        <f ca="1">VLOOKUP( APIF_Import!$O92, Podesavanja!$N$3:$Q$9, 4, 0)</f>
        <v>2</v>
      </c>
      <c r="C92" s="229">
        <f ca="1">VLOOKUP( APIF_Import!$N92, Aop!$A$2:$P$456, 4, 0)</f>
        <v>124</v>
      </c>
      <c r="D92" s="230" t="str">
        <f ca="1">IF( ISNA( VLOOKUP( APIF_Import!$O92 &amp; APIF_Import!$D$1,Podesavanja!$AA$3:$AD$28, 4, 0)), "", SUBSTITUTE( VALUE( VLOOKUP( APIF_Import!$C92, INDIRECT( "Lookup_" &amp; APIF_Import!$O92), VLOOKUP( APIF_Import!$O92 &amp; APIF_Import!$D$1,Podesavanja!$AA$3:$AD$28, 4, 0), 0)), ".", ","))</f>
        <v>18856698</v>
      </c>
      <c r="E92" s="230">
        <f ca="1">IF( ISNA( VLOOKUP( APIF_Import!$O92 &amp; APIF_Import!$E$1,Podesavanja!$AA$3:$AD$28, 4, 0)), "", VLOOKUP( APIF_Import!$C92, INDIRECT( "Lookup_" &amp; APIF_Import!$O92), VLOOKUP( APIF_Import!$O92 &amp; APIF_Import!$E$1,Podesavanja!$AA$3:$AD$28, 4, 0), 0))</f>
        <v>19107814</v>
      </c>
      <c r="F92" s="230" t="str">
        <f ca="1">IF( ISNA( VLOOKUP( APIF_Import!$O92 &amp; APIF_Import!$F$1,Podesavanja!$AA$3:$AD$28, 4, 0)), "", VLOOKUP( APIF_Import!$C92, INDIRECT( "Lookup_" &amp; APIF_Import!$O92), VLOOKUP( APIF_Import!$O92 &amp; APIF_Import!$F$1,Podesavanja!$AA$3:$AD$28, 4, 0), 0))</f>
        <v/>
      </c>
      <c r="G92" s="230" t="str">
        <f ca="1">IF( ISNA( VLOOKUP( APIF_Import!$O92 &amp; APIF_Import!$G$1,Podesavanja!$AA$3:$AD$28, 4, 0)), "", VLOOKUP( APIF_Import!$C92, INDIRECT( "Lookup_" &amp; APIF_Import!$O92), VLOOKUP( APIF_Import!$O92 &amp; APIF_Import!$G$1,Podesavanja!$AA$3:$AD$28, 4, 0), 0))</f>
        <v/>
      </c>
      <c r="H92" s="230" t="str">
        <f ca="1">IF( ISNA( VLOOKUP( APIF_Import!$O92 &amp; APIF_Import!$H$1,Podesavanja!$AA$3:$AD$28, 4, 0)), "", VLOOKUP( APIF_Import!$C92, INDIRECT( "Lookup_" &amp; APIF_Import!$O92), VLOOKUP( APIF_Import!$O92 &amp; APIF_Import!$H$1,Podesavanja!$AA$3:$AD$28, 4, 0), 0))</f>
        <v/>
      </c>
      <c r="I92" s="230" t="str">
        <f ca="1">IF( ISNA( VLOOKUP( APIF_Import!$O92 &amp; APIF_Import!$I$1,Podesavanja!$AA$3:$AD$28, 4, 0)), "", VLOOKUP( APIF_Import!$C92, INDIRECT( "Lookup_" &amp; APIF_Import!$M92:$O92), VLOOKUP( APIF_Import!$O92 &amp; APIF_Import!$I$1,Podesavanja!$AA$3:$AD$28, 4, 0), 0))</f>
        <v/>
      </c>
      <c r="J92" s="230" t="str">
        <f ca="1">IF( ISNA( VLOOKUP( APIF_Import!$O92 &amp; APIF_Import!$J$1,Podesavanja!$AA$3:$AD$28, 4, 0)), "", VLOOKUP( APIF_Import!$C92, INDIRECT( "Lookup_" &amp; APIF_Import!$M92:$O92), VLOOKUP( APIF_Import!$O92 &amp; APIF_Import!$J$1,Podesavanja!$AA$3:$AD$28, 4, 0), 0))</f>
        <v/>
      </c>
      <c r="K92" s="230" t="str">
        <f ca="1">IF( ISNA( VLOOKUP( APIF_Import!$O92 &amp; APIF_Import!$K$1,Podesavanja!$AA$3:$AD$28, 4, 0)), "", VLOOKUP( APIF_Import!$C92, INDIRECT( "Lookup_" &amp; APIF_Import!$M92:$O92), VLOOKUP( APIF_Import!$O92 &amp; APIF_Import!$K$1,Podesavanja!$AA$3:$AD$28, 4, 0), 0))</f>
        <v/>
      </c>
      <c r="L92" s="230" t="str">
        <f ca="1">IF( ISNA( VLOOKUP( APIF_Import!$O92 &amp; APIF_Import!$L$1,Podesavanja!$AA$3:$AD$28, 4, 0)), "", VLOOKUP( APIF_Import!$C92, INDIRECT( "Lookup_" &amp; APIF_Import!$M92:$O92), VLOOKUP( APIF_Import!$O92 &amp; APIF_Import!$L$1,Podesavanja!$AA$3:$AD$28, 4, 0), 0))</f>
        <v/>
      </c>
      <c r="M92" s="230" t="str">
        <f ca="1">IF( ISNA( VLOOKUP( APIF_Import!$O92 &amp; APIF_Import!$M$1,Podesavanja!$AA$3:$AD$28, 4, 0)), "", VLOOKUP( APIF_Import!$C92, INDIRECT( "Lookup_" &amp; APIF_Import!$M92:$O92), VLOOKUP( APIF_Import!$O92 &amp; APIF_Import!$M$1,Podesavanja!$AA$3:$AD$28, 4, 0), 0))</f>
        <v/>
      </c>
      <c r="N92" s="8">
        <v>91</v>
      </c>
      <c r="O92" s="230" t="s">
        <v>2896</v>
      </c>
    </row>
    <row r="93" spans="2:15">
      <c r="B93" s="44">
        <f ca="1">VLOOKUP( APIF_Import!$O93, Podesavanja!$N$3:$Q$9, 4, 0)</f>
        <v>2</v>
      </c>
      <c r="C93" s="229">
        <f ca="1">VLOOKUP( APIF_Import!$N93, Aop!$A$2:$P$456, 4, 0)</f>
        <v>125</v>
      </c>
      <c r="D93" s="230" t="str">
        <f ca="1">IF( ISNA( VLOOKUP( APIF_Import!$O93 &amp; APIF_Import!$D$1,Podesavanja!$AA$3:$AD$28, 4, 0)), "", SUBSTITUTE( VALUE( VLOOKUP( APIF_Import!$C93, INDIRECT( "Lookup_" &amp; APIF_Import!$O93), VLOOKUP( APIF_Import!$O93 &amp; APIF_Import!$D$1,Podesavanja!$AA$3:$AD$28, 4, 0), 0)), ".", ","))</f>
        <v>2555784</v>
      </c>
      <c r="E93" s="230">
        <f ca="1">IF( ISNA( VLOOKUP( APIF_Import!$O93 &amp; APIF_Import!$E$1,Podesavanja!$AA$3:$AD$28, 4, 0)), "", VLOOKUP( APIF_Import!$C93, INDIRECT( "Lookup_" &amp; APIF_Import!$O93), VLOOKUP( APIF_Import!$O93 &amp; APIF_Import!$E$1,Podesavanja!$AA$3:$AD$28, 4, 0), 0))</f>
        <v>2067231</v>
      </c>
      <c r="F93" s="230" t="str">
        <f ca="1">IF( ISNA( VLOOKUP( APIF_Import!$O93 &amp; APIF_Import!$F$1,Podesavanja!$AA$3:$AD$28, 4, 0)), "", VLOOKUP( APIF_Import!$C93, INDIRECT( "Lookup_" &amp; APIF_Import!$O93), VLOOKUP( APIF_Import!$O93 &amp; APIF_Import!$F$1,Podesavanja!$AA$3:$AD$28, 4, 0), 0))</f>
        <v/>
      </c>
      <c r="G93" s="230" t="str">
        <f ca="1">IF( ISNA( VLOOKUP( APIF_Import!$O93 &amp; APIF_Import!$G$1,Podesavanja!$AA$3:$AD$28, 4, 0)), "", VLOOKUP( APIF_Import!$C93, INDIRECT( "Lookup_" &amp; APIF_Import!$O93), VLOOKUP( APIF_Import!$O93 &amp; APIF_Import!$G$1,Podesavanja!$AA$3:$AD$28, 4, 0), 0))</f>
        <v/>
      </c>
      <c r="H93" s="230" t="str">
        <f ca="1">IF( ISNA( VLOOKUP( APIF_Import!$O93 &amp; APIF_Import!$H$1,Podesavanja!$AA$3:$AD$28, 4, 0)), "", VLOOKUP( APIF_Import!$C93, INDIRECT( "Lookup_" &amp; APIF_Import!$O93), VLOOKUP( APIF_Import!$O93 &amp; APIF_Import!$H$1,Podesavanja!$AA$3:$AD$28, 4, 0), 0))</f>
        <v/>
      </c>
      <c r="I93" s="230" t="str">
        <f ca="1">IF( ISNA( VLOOKUP( APIF_Import!$O93 &amp; APIF_Import!$I$1,Podesavanja!$AA$3:$AD$28, 4, 0)), "", VLOOKUP( APIF_Import!$C93, INDIRECT( "Lookup_" &amp; APIF_Import!$M93:$O93), VLOOKUP( APIF_Import!$O93 &amp; APIF_Import!$I$1,Podesavanja!$AA$3:$AD$28, 4, 0), 0))</f>
        <v/>
      </c>
      <c r="J93" s="230" t="str">
        <f ca="1">IF( ISNA( VLOOKUP( APIF_Import!$O93 &amp; APIF_Import!$J$1,Podesavanja!$AA$3:$AD$28, 4, 0)), "", VLOOKUP( APIF_Import!$C93, INDIRECT( "Lookup_" &amp; APIF_Import!$M93:$O93), VLOOKUP( APIF_Import!$O93 &amp; APIF_Import!$J$1,Podesavanja!$AA$3:$AD$28, 4, 0), 0))</f>
        <v/>
      </c>
      <c r="K93" s="230" t="str">
        <f ca="1">IF( ISNA( VLOOKUP( APIF_Import!$O93 &amp; APIF_Import!$K$1,Podesavanja!$AA$3:$AD$28, 4, 0)), "", VLOOKUP( APIF_Import!$C93, INDIRECT( "Lookup_" &amp; APIF_Import!$M93:$O93), VLOOKUP( APIF_Import!$O93 &amp; APIF_Import!$K$1,Podesavanja!$AA$3:$AD$28, 4, 0), 0))</f>
        <v/>
      </c>
      <c r="L93" s="230" t="str">
        <f ca="1">IF( ISNA( VLOOKUP( APIF_Import!$O93 &amp; APIF_Import!$L$1,Podesavanja!$AA$3:$AD$28, 4, 0)), "", VLOOKUP( APIF_Import!$C93, INDIRECT( "Lookup_" &amp; APIF_Import!$M93:$O93), VLOOKUP( APIF_Import!$O93 &amp; APIF_Import!$L$1,Podesavanja!$AA$3:$AD$28, 4, 0), 0))</f>
        <v/>
      </c>
      <c r="M93" s="230" t="str">
        <f ca="1">IF( ISNA( VLOOKUP( APIF_Import!$O93 &amp; APIF_Import!$M$1,Podesavanja!$AA$3:$AD$28, 4, 0)), "", VLOOKUP( APIF_Import!$C93, INDIRECT( "Lookup_" &amp; APIF_Import!$M93:$O93), VLOOKUP( APIF_Import!$O93 &amp; APIF_Import!$M$1,Podesavanja!$AA$3:$AD$28, 4, 0), 0))</f>
        <v/>
      </c>
      <c r="N93" s="8">
        <v>92</v>
      </c>
      <c r="O93" s="230" t="s">
        <v>2896</v>
      </c>
    </row>
    <row r="94" spans="2:15">
      <c r="B94" s="44">
        <f ca="1">VLOOKUP( APIF_Import!$O94, Podesavanja!$N$3:$Q$9, 4, 0)</f>
        <v>2</v>
      </c>
      <c r="C94" s="229">
        <f ca="1">VLOOKUP( APIF_Import!$N94, Aop!$A$2:$P$456, 4, 0)</f>
        <v>126</v>
      </c>
      <c r="D94" s="230" t="str">
        <f ca="1">IF( ISNA( VLOOKUP( APIF_Import!$O94 &amp; APIF_Import!$D$1,Podesavanja!$AA$3:$AD$28, 4, 0)), "", SUBSTITUTE( VALUE( VLOOKUP( APIF_Import!$C94, INDIRECT( "Lookup_" &amp; APIF_Import!$O94), VLOOKUP( APIF_Import!$O94 &amp; APIF_Import!$D$1,Podesavanja!$AA$3:$AD$28, 4, 0), 0)), ".", ","))</f>
        <v>16300914</v>
      </c>
      <c r="E94" s="230">
        <f ca="1">IF( ISNA( VLOOKUP( APIF_Import!$O94 &amp; APIF_Import!$E$1,Podesavanja!$AA$3:$AD$28, 4, 0)), "", VLOOKUP( APIF_Import!$C94, INDIRECT( "Lookup_" &amp; APIF_Import!$O94), VLOOKUP( APIF_Import!$O94 &amp; APIF_Import!$E$1,Podesavanja!$AA$3:$AD$28, 4, 0), 0))</f>
        <v>17040583</v>
      </c>
      <c r="F94" s="230" t="str">
        <f ca="1">IF( ISNA( VLOOKUP( APIF_Import!$O94 &amp; APIF_Import!$F$1,Podesavanja!$AA$3:$AD$28, 4, 0)), "", VLOOKUP( APIF_Import!$C94, INDIRECT( "Lookup_" &amp; APIF_Import!$O94), VLOOKUP( APIF_Import!$O94 &amp; APIF_Import!$F$1,Podesavanja!$AA$3:$AD$28, 4, 0), 0))</f>
        <v/>
      </c>
      <c r="G94" s="230" t="str">
        <f ca="1">IF( ISNA( VLOOKUP( APIF_Import!$O94 &amp; APIF_Import!$G$1,Podesavanja!$AA$3:$AD$28, 4, 0)), "", VLOOKUP( APIF_Import!$C94, INDIRECT( "Lookup_" &amp; APIF_Import!$O94), VLOOKUP( APIF_Import!$O94 &amp; APIF_Import!$G$1,Podesavanja!$AA$3:$AD$28, 4, 0), 0))</f>
        <v/>
      </c>
      <c r="H94" s="230" t="str">
        <f ca="1">IF( ISNA( VLOOKUP( APIF_Import!$O94 &amp; APIF_Import!$H$1,Podesavanja!$AA$3:$AD$28, 4, 0)), "", VLOOKUP( APIF_Import!$C94, INDIRECT( "Lookup_" &amp; APIF_Import!$O94), VLOOKUP( APIF_Import!$O94 &amp; APIF_Import!$H$1,Podesavanja!$AA$3:$AD$28, 4, 0), 0))</f>
        <v/>
      </c>
      <c r="I94" s="230" t="str">
        <f ca="1">IF( ISNA( VLOOKUP( APIF_Import!$O94 &amp; APIF_Import!$I$1,Podesavanja!$AA$3:$AD$28, 4, 0)), "", VLOOKUP( APIF_Import!$C94, INDIRECT( "Lookup_" &amp; APIF_Import!$M94:$O94), VLOOKUP( APIF_Import!$O94 &amp; APIF_Import!$I$1,Podesavanja!$AA$3:$AD$28, 4, 0), 0))</f>
        <v/>
      </c>
      <c r="J94" s="230" t="str">
        <f ca="1">IF( ISNA( VLOOKUP( APIF_Import!$O94 &amp; APIF_Import!$J$1,Podesavanja!$AA$3:$AD$28, 4, 0)), "", VLOOKUP( APIF_Import!$C94, INDIRECT( "Lookup_" &amp; APIF_Import!$M94:$O94), VLOOKUP( APIF_Import!$O94 &amp; APIF_Import!$J$1,Podesavanja!$AA$3:$AD$28, 4, 0), 0))</f>
        <v/>
      </c>
      <c r="K94" s="230" t="str">
        <f ca="1">IF( ISNA( VLOOKUP( APIF_Import!$O94 &amp; APIF_Import!$K$1,Podesavanja!$AA$3:$AD$28, 4, 0)), "", VLOOKUP( APIF_Import!$C94, INDIRECT( "Lookup_" &amp; APIF_Import!$M94:$O94), VLOOKUP( APIF_Import!$O94 &amp; APIF_Import!$K$1,Podesavanja!$AA$3:$AD$28, 4, 0), 0))</f>
        <v/>
      </c>
      <c r="L94" s="230" t="str">
        <f ca="1">IF( ISNA( VLOOKUP( APIF_Import!$O94 &amp; APIF_Import!$L$1,Podesavanja!$AA$3:$AD$28, 4, 0)), "", VLOOKUP( APIF_Import!$C94, INDIRECT( "Lookup_" &amp; APIF_Import!$M94:$O94), VLOOKUP( APIF_Import!$O94 &amp; APIF_Import!$L$1,Podesavanja!$AA$3:$AD$28, 4, 0), 0))</f>
        <v/>
      </c>
      <c r="M94" s="230" t="str">
        <f ca="1">IF( ISNA( VLOOKUP( APIF_Import!$O94 &amp; APIF_Import!$M$1,Podesavanja!$AA$3:$AD$28, 4, 0)), "", VLOOKUP( APIF_Import!$C94, INDIRECT( "Lookup_" &amp; APIF_Import!$M94:$O94), VLOOKUP( APIF_Import!$O94 &amp; APIF_Import!$M$1,Podesavanja!$AA$3:$AD$28, 4, 0), 0))</f>
        <v/>
      </c>
      <c r="N94" s="8">
        <v>93</v>
      </c>
      <c r="O94" s="230" t="s">
        <v>2896</v>
      </c>
    </row>
    <row r="95" spans="2:15">
      <c r="B95" s="44">
        <f ca="1">VLOOKUP( APIF_Import!$O95, Podesavanja!$N$3:$Q$9, 4, 0)</f>
        <v>2</v>
      </c>
      <c r="C95" s="229">
        <f ca="1">VLOOKUP( APIF_Import!$N95, Aop!$A$2:$P$456, 4, 0)</f>
        <v>127</v>
      </c>
      <c r="D95" s="230" t="str">
        <f ca="1">IF( ISNA( VLOOKUP( APIF_Import!$O95 &amp; APIF_Import!$D$1,Podesavanja!$AA$3:$AD$28, 4, 0)), "", SUBSTITUTE( VALUE( VLOOKUP( APIF_Import!$C95, INDIRECT( "Lookup_" &amp; APIF_Import!$O95), VLOOKUP( APIF_Import!$O95 &amp; APIF_Import!$D$1,Podesavanja!$AA$3:$AD$28, 4, 0), 0)), ".", ","))</f>
        <v>0</v>
      </c>
      <c r="E95" s="230">
        <f ca="1">IF( ISNA( VLOOKUP( APIF_Import!$O95 &amp; APIF_Import!$E$1,Podesavanja!$AA$3:$AD$28, 4, 0)), "", VLOOKUP( APIF_Import!$C95, INDIRECT( "Lookup_" &amp; APIF_Import!$O95), VLOOKUP( APIF_Import!$O95 &amp; APIF_Import!$E$1,Podesavanja!$AA$3:$AD$28, 4, 0), 0))</f>
        <v>0</v>
      </c>
      <c r="F95" s="230" t="str">
        <f ca="1">IF( ISNA( VLOOKUP( APIF_Import!$O95 &amp; APIF_Import!$F$1,Podesavanja!$AA$3:$AD$28, 4, 0)), "", VLOOKUP( APIF_Import!$C95, INDIRECT( "Lookup_" &amp; APIF_Import!$O95), VLOOKUP( APIF_Import!$O95 &amp; APIF_Import!$F$1,Podesavanja!$AA$3:$AD$28, 4, 0), 0))</f>
        <v/>
      </c>
      <c r="G95" s="230" t="str">
        <f ca="1">IF( ISNA( VLOOKUP( APIF_Import!$O95 &amp; APIF_Import!$G$1,Podesavanja!$AA$3:$AD$28, 4, 0)), "", VLOOKUP( APIF_Import!$C95, INDIRECT( "Lookup_" &amp; APIF_Import!$O95), VLOOKUP( APIF_Import!$O95 &amp; APIF_Import!$G$1,Podesavanja!$AA$3:$AD$28, 4, 0), 0))</f>
        <v/>
      </c>
      <c r="H95" s="230" t="str">
        <f ca="1">IF( ISNA( VLOOKUP( APIF_Import!$O95 &amp; APIF_Import!$H$1,Podesavanja!$AA$3:$AD$28, 4, 0)), "", VLOOKUP( APIF_Import!$C95, INDIRECT( "Lookup_" &amp; APIF_Import!$O95), VLOOKUP( APIF_Import!$O95 &amp; APIF_Import!$H$1,Podesavanja!$AA$3:$AD$28, 4, 0), 0))</f>
        <v/>
      </c>
      <c r="I95" s="230" t="str">
        <f ca="1">IF( ISNA( VLOOKUP( APIF_Import!$O95 &amp; APIF_Import!$I$1,Podesavanja!$AA$3:$AD$28, 4, 0)), "", VLOOKUP( APIF_Import!$C95, INDIRECT( "Lookup_" &amp; APIF_Import!$M95:$O95), VLOOKUP( APIF_Import!$O95 &amp; APIF_Import!$I$1,Podesavanja!$AA$3:$AD$28, 4, 0), 0))</f>
        <v/>
      </c>
      <c r="J95" s="230" t="str">
        <f ca="1">IF( ISNA( VLOOKUP( APIF_Import!$O95 &amp; APIF_Import!$J$1,Podesavanja!$AA$3:$AD$28, 4, 0)), "", VLOOKUP( APIF_Import!$C95, INDIRECT( "Lookup_" &amp; APIF_Import!$M95:$O95), VLOOKUP( APIF_Import!$O95 &amp; APIF_Import!$J$1,Podesavanja!$AA$3:$AD$28, 4, 0), 0))</f>
        <v/>
      </c>
      <c r="K95" s="230" t="str">
        <f ca="1">IF( ISNA( VLOOKUP( APIF_Import!$O95 &amp; APIF_Import!$K$1,Podesavanja!$AA$3:$AD$28, 4, 0)), "", VLOOKUP( APIF_Import!$C95, INDIRECT( "Lookup_" &amp; APIF_Import!$M95:$O95), VLOOKUP( APIF_Import!$O95 &amp; APIF_Import!$K$1,Podesavanja!$AA$3:$AD$28, 4, 0), 0))</f>
        <v/>
      </c>
      <c r="L95" s="230" t="str">
        <f ca="1">IF( ISNA( VLOOKUP( APIF_Import!$O95 &amp; APIF_Import!$L$1,Podesavanja!$AA$3:$AD$28, 4, 0)), "", VLOOKUP( APIF_Import!$C95, INDIRECT( "Lookup_" &amp; APIF_Import!$M95:$O95), VLOOKUP( APIF_Import!$O95 &amp; APIF_Import!$L$1,Podesavanja!$AA$3:$AD$28, 4, 0), 0))</f>
        <v/>
      </c>
      <c r="M95" s="230" t="str">
        <f ca="1">IF( ISNA( VLOOKUP( APIF_Import!$O95 &amp; APIF_Import!$M$1,Podesavanja!$AA$3:$AD$28, 4, 0)), "", VLOOKUP( APIF_Import!$C95, INDIRECT( "Lookup_" &amp; APIF_Import!$M95:$O95), VLOOKUP( APIF_Import!$O95 &amp; APIF_Import!$M$1,Podesavanja!$AA$3:$AD$28, 4, 0), 0))</f>
        <v/>
      </c>
      <c r="N95" s="8">
        <v>94</v>
      </c>
      <c r="O95" s="230" t="s">
        <v>2896</v>
      </c>
    </row>
    <row r="96" spans="2:15">
      <c r="B96" s="44">
        <f ca="1">VLOOKUP( APIF_Import!$O96, Podesavanja!$N$3:$Q$9, 4, 0)</f>
        <v>2</v>
      </c>
      <c r="C96" s="229">
        <f ca="1">VLOOKUP( APIF_Import!$N96, Aop!$A$2:$P$456, 4, 0)</f>
        <v>128</v>
      </c>
      <c r="D96" s="230" t="str">
        <f ca="1">IF( ISNA( VLOOKUP( APIF_Import!$O96 &amp; APIF_Import!$D$1,Podesavanja!$AA$3:$AD$28, 4, 0)), "", SUBSTITUTE( VALUE( VLOOKUP( APIF_Import!$C96, INDIRECT( "Lookup_" &amp; APIF_Import!$O96), VLOOKUP( APIF_Import!$O96 &amp; APIF_Import!$D$1,Podesavanja!$AA$3:$AD$28, 4, 0), 0)), ".", ","))</f>
        <v>0</v>
      </c>
      <c r="E96" s="230">
        <f ca="1">IF( ISNA( VLOOKUP( APIF_Import!$O96 &amp; APIF_Import!$E$1,Podesavanja!$AA$3:$AD$28, 4, 0)), "", VLOOKUP( APIF_Import!$C96, INDIRECT( "Lookup_" &amp; APIF_Import!$O96), VLOOKUP( APIF_Import!$O96 &amp; APIF_Import!$E$1,Podesavanja!$AA$3:$AD$28, 4, 0), 0))</f>
        <v>0</v>
      </c>
      <c r="F96" s="230" t="str">
        <f ca="1">IF( ISNA( VLOOKUP( APIF_Import!$O96 &amp; APIF_Import!$F$1,Podesavanja!$AA$3:$AD$28, 4, 0)), "", VLOOKUP( APIF_Import!$C96, INDIRECT( "Lookup_" &amp; APIF_Import!$O96), VLOOKUP( APIF_Import!$O96 &amp; APIF_Import!$F$1,Podesavanja!$AA$3:$AD$28, 4, 0), 0))</f>
        <v/>
      </c>
      <c r="G96" s="230" t="str">
        <f ca="1">IF( ISNA( VLOOKUP( APIF_Import!$O96 &amp; APIF_Import!$G$1,Podesavanja!$AA$3:$AD$28, 4, 0)), "", VLOOKUP( APIF_Import!$C96, INDIRECT( "Lookup_" &amp; APIF_Import!$O96), VLOOKUP( APIF_Import!$O96 &amp; APIF_Import!$G$1,Podesavanja!$AA$3:$AD$28, 4, 0), 0))</f>
        <v/>
      </c>
      <c r="H96" s="230" t="str">
        <f ca="1">IF( ISNA( VLOOKUP( APIF_Import!$O96 &amp; APIF_Import!$H$1,Podesavanja!$AA$3:$AD$28, 4, 0)), "", VLOOKUP( APIF_Import!$C96, INDIRECT( "Lookup_" &amp; APIF_Import!$O96), VLOOKUP( APIF_Import!$O96 &amp; APIF_Import!$H$1,Podesavanja!$AA$3:$AD$28, 4, 0), 0))</f>
        <v/>
      </c>
      <c r="I96" s="230" t="str">
        <f ca="1">IF( ISNA( VLOOKUP( APIF_Import!$O96 &amp; APIF_Import!$I$1,Podesavanja!$AA$3:$AD$28, 4, 0)), "", VLOOKUP( APIF_Import!$C96, INDIRECT( "Lookup_" &amp; APIF_Import!$M96:$O96), VLOOKUP( APIF_Import!$O96 &amp; APIF_Import!$I$1,Podesavanja!$AA$3:$AD$28, 4, 0), 0))</f>
        <v/>
      </c>
      <c r="J96" s="230" t="str">
        <f ca="1">IF( ISNA( VLOOKUP( APIF_Import!$O96 &amp; APIF_Import!$J$1,Podesavanja!$AA$3:$AD$28, 4, 0)), "", VLOOKUP( APIF_Import!$C96, INDIRECT( "Lookup_" &amp; APIF_Import!$M96:$O96), VLOOKUP( APIF_Import!$O96 &amp; APIF_Import!$J$1,Podesavanja!$AA$3:$AD$28, 4, 0), 0))</f>
        <v/>
      </c>
      <c r="K96" s="230" t="str">
        <f ca="1">IF( ISNA( VLOOKUP( APIF_Import!$O96 &amp; APIF_Import!$K$1,Podesavanja!$AA$3:$AD$28, 4, 0)), "", VLOOKUP( APIF_Import!$C96, INDIRECT( "Lookup_" &amp; APIF_Import!$M96:$O96), VLOOKUP( APIF_Import!$O96 &amp; APIF_Import!$K$1,Podesavanja!$AA$3:$AD$28, 4, 0), 0))</f>
        <v/>
      </c>
      <c r="L96" s="230" t="str">
        <f ca="1">IF( ISNA( VLOOKUP( APIF_Import!$O96 &amp; APIF_Import!$L$1,Podesavanja!$AA$3:$AD$28, 4, 0)), "", VLOOKUP( APIF_Import!$C96, INDIRECT( "Lookup_" &amp; APIF_Import!$M96:$O96), VLOOKUP( APIF_Import!$O96 &amp; APIF_Import!$L$1,Podesavanja!$AA$3:$AD$28, 4, 0), 0))</f>
        <v/>
      </c>
      <c r="M96" s="230" t="str">
        <f ca="1">IF( ISNA( VLOOKUP( APIF_Import!$O96 &amp; APIF_Import!$M$1,Podesavanja!$AA$3:$AD$28, 4, 0)), "", VLOOKUP( APIF_Import!$C96, INDIRECT( "Lookup_" &amp; APIF_Import!$M96:$O96), VLOOKUP( APIF_Import!$O96 &amp; APIF_Import!$M$1,Podesavanja!$AA$3:$AD$28, 4, 0), 0))</f>
        <v/>
      </c>
      <c r="N96" s="8">
        <v>95</v>
      </c>
      <c r="O96" s="230" t="s">
        <v>2896</v>
      </c>
    </row>
    <row r="97" spans="2:15">
      <c r="B97" s="44">
        <f ca="1">VLOOKUP( APIF_Import!$O97, Podesavanja!$N$3:$Q$9, 4, 0)</f>
        <v>2</v>
      </c>
      <c r="C97" s="229">
        <f ca="1">VLOOKUP( APIF_Import!$N97, Aop!$A$2:$P$456, 4, 0)</f>
        <v>129</v>
      </c>
      <c r="D97" s="230" t="str">
        <f ca="1">IF( ISNA( VLOOKUP( APIF_Import!$O97 &amp; APIF_Import!$D$1,Podesavanja!$AA$3:$AD$28, 4, 0)), "", SUBSTITUTE( VALUE( VLOOKUP( APIF_Import!$C97, INDIRECT( "Lookup_" &amp; APIF_Import!$O97), VLOOKUP( APIF_Import!$O97 &amp; APIF_Import!$D$1,Podesavanja!$AA$3:$AD$28, 4, 0), 0)), ".", ","))</f>
        <v>0</v>
      </c>
      <c r="E97" s="230">
        <f ca="1">IF( ISNA( VLOOKUP( APIF_Import!$O97 &amp; APIF_Import!$E$1,Podesavanja!$AA$3:$AD$28, 4, 0)), "", VLOOKUP( APIF_Import!$C97, INDIRECT( "Lookup_" &amp; APIF_Import!$O97), VLOOKUP( APIF_Import!$O97 &amp; APIF_Import!$E$1,Podesavanja!$AA$3:$AD$28, 4, 0), 0))</f>
        <v>0</v>
      </c>
      <c r="F97" s="230" t="str">
        <f ca="1">IF( ISNA( VLOOKUP( APIF_Import!$O97 &amp; APIF_Import!$F$1,Podesavanja!$AA$3:$AD$28, 4, 0)), "", VLOOKUP( APIF_Import!$C97, INDIRECT( "Lookup_" &amp; APIF_Import!$O97), VLOOKUP( APIF_Import!$O97 &amp; APIF_Import!$F$1,Podesavanja!$AA$3:$AD$28, 4, 0), 0))</f>
        <v/>
      </c>
      <c r="G97" s="230" t="str">
        <f ca="1">IF( ISNA( VLOOKUP( APIF_Import!$O97 &amp; APIF_Import!$G$1,Podesavanja!$AA$3:$AD$28, 4, 0)), "", VLOOKUP( APIF_Import!$C97, INDIRECT( "Lookup_" &amp; APIF_Import!$O97), VLOOKUP( APIF_Import!$O97 &amp; APIF_Import!$G$1,Podesavanja!$AA$3:$AD$28, 4, 0), 0))</f>
        <v/>
      </c>
      <c r="H97" s="230" t="str">
        <f ca="1">IF( ISNA( VLOOKUP( APIF_Import!$O97 &amp; APIF_Import!$H$1,Podesavanja!$AA$3:$AD$28, 4, 0)), "", VLOOKUP( APIF_Import!$C97, INDIRECT( "Lookup_" &amp; APIF_Import!$O97), VLOOKUP( APIF_Import!$O97 &amp; APIF_Import!$H$1,Podesavanja!$AA$3:$AD$28, 4, 0), 0))</f>
        <v/>
      </c>
      <c r="I97" s="230" t="str">
        <f ca="1">IF( ISNA( VLOOKUP( APIF_Import!$O97 &amp; APIF_Import!$I$1,Podesavanja!$AA$3:$AD$28, 4, 0)), "", VLOOKUP( APIF_Import!$C97, INDIRECT( "Lookup_" &amp; APIF_Import!$M97:$O97), VLOOKUP( APIF_Import!$O97 &amp; APIF_Import!$I$1,Podesavanja!$AA$3:$AD$28, 4, 0), 0))</f>
        <v/>
      </c>
      <c r="J97" s="230" t="str">
        <f ca="1">IF( ISNA( VLOOKUP( APIF_Import!$O97 &amp; APIF_Import!$J$1,Podesavanja!$AA$3:$AD$28, 4, 0)), "", VLOOKUP( APIF_Import!$C97, INDIRECT( "Lookup_" &amp; APIF_Import!$M97:$O97), VLOOKUP( APIF_Import!$O97 &amp; APIF_Import!$J$1,Podesavanja!$AA$3:$AD$28, 4, 0), 0))</f>
        <v/>
      </c>
      <c r="K97" s="230" t="str">
        <f ca="1">IF( ISNA( VLOOKUP( APIF_Import!$O97 &amp; APIF_Import!$K$1,Podesavanja!$AA$3:$AD$28, 4, 0)), "", VLOOKUP( APIF_Import!$C97, INDIRECT( "Lookup_" &amp; APIF_Import!$M97:$O97), VLOOKUP( APIF_Import!$O97 &amp; APIF_Import!$K$1,Podesavanja!$AA$3:$AD$28, 4, 0), 0))</f>
        <v/>
      </c>
      <c r="L97" s="230" t="str">
        <f ca="1">IF( ISNA( VLOOKUP( APIF_Import!$O97 &amp; APIF_Import!$L$1,Podesavanja!$AA$3:$AD$28, 4, 0)), "", VLOOKUP( APIF_Import!$C97, INDIRECT( "Lookup_" &amp; APIF_Import!$M97:$O97), VLOOKUP( APIF_Import!$O97 &amp; APIF_Import!$L$1,Podesavanja!$AA$3:$AD$28, 4, 0), 0))</f>
        <v/>
      </c>
      <c r="M97" s="230" t="str">
        <f ca="1">IF( ISNA( VLOOKUP( APIF_Import!$O97 &amp; APIF_Import!$M$1,Podesavanja!$AA$3:$AD$28, 4, 0)), "", VLOOKUP( APIF_Import!$C97, INDIRECT( "Lookup_" &amp; APIF_Import!$M97:$O97), VLOOKUP( APIF_Import!$O97 &amp; APIF_Import!$M$1,Podesavanja!$AA$3:$AD$28, 4, 0), 0))</f>
        <v/>
      </c>
      <c r="N97" s="8">
        <v>96</v>
      </c>
      <c r="O97" s="230" t="s">
        <v>2896</v>
      </c>
    </row>
    <row r="98" spans="2:15">
      <c r="B98" s="44">
        <f ca="1">VLOOKUP( APIF_Import!$O98, Podesavanja!$N$3:$Q$9, 4, 0)</f>
        <v>2</v>
      </c>
      <c r="C98" s="229">
        <f ca="1">VLOOKUP( APIF_Import!$N98, Aop!$A$2:$P$456, 4, 0)</f>
        <v>130</v>
      </c>
      <c r="D98" s="230" t="str">
        <f ca="1">IF( ISNA( VLOOKUP( APIF_Import!$O98 &amp; APIF_Import!$D$1,Podesavanja!$AA$3:$AD$28, 4, 0)), "", SUBSTITUTE( VALUE( VLOOKUP( APIF_Import!$C98, INDIRECT( "Lookup_" &amp; APIF_Import!$O98), VLOOKUP( APIF_Import!$O98 &amp; APIF_Import!$D$1,Podesavanja!$AA$3:$AD$28, 4, 0), 0)), ".", ","))</f>
        <v>0</v>
      </c>
      <c r="E98" s="230">
        <f ca="1">IF( ISNA( VLOOKUP( APIF_Import!$O98 &amp; APIF_Import!$E$1,Podesavanja!$AA$3:$AD$28, 4, 0)), "", VLOOKUP( APIF_Import!$C98, INDIRECT( "Lookup_" &amp; APIF_Import!$O98), VLOOKUP( APIF_Import!$O98 &amp; APIF_Import!$E$1,Podesavanja!$AA$3:$AD$28, 4, 0), 0))</f>
        <v>0</v>
      </c>
      <c r="F98" s="230" t="str">
        <f ca="1">IF( ISNA( VLOOKUP( APIF_Import!$O98 &amp; APIF_Import!$F$1,Podesavanja!$AA$3:$AD$28, 4, 0)), "", VLOOKUP( APIF_Import!$C98, INDIRECT( "Lookup_" &amp; APIF_Import!$O98), VLOOKUP( APIF_Import!$O98 &amp; APIF_Import!$F$1,Podesavanja!$AA$3:$AD$28, 4, 0), 0))</f>
        <v/>
      </c>
      <c r="G98" s="230" t="str">
        <f ca="1">IF( ISNA( VLOOKUP( APIF_Import!$O98 &amp; APIF_Import!$G$1,Podesavanja!$AA$3:$AD$28, 4, 0)), "", VLOOKUP( APIF_Import!$C98, INDIRECT( "Lookup_" &amp; APIF_Import!$O98), VLOOKUP( APIF_Import!$O98 &amp; APIF_Import!$G$1,Podesavanja!$AA$3:$AD$28, 4, 0), 0))</f>
        <v/>
      </c>
      <c r="H98" s="230" t="str">
        <f ca="1">IF( ISNA( VLOOKUP( APIF_Import!$O98 &amp; APIF_Import!$H$1,Podesavanja!$AA$3:$AD$28, 4, 0)), "", VLOOKUP( APIF_Import!$C98, INDIRECT( "Lookup_" &amp; APIF_Import!$O98), VLOOKUP( APIF_Import!$O98 &amp; APIF_Import!$H$1,Podesavanja!$AA$3:$AD$28, 4, 0), 0))</f>
        <v/>
      </c>
      <c r="I98" s="230" t="str">
        <f ca="1">IF( ISNA( VLOOKUP( APIF_Import!$O98 &amp; APIF_Import!$I$1,Podesavanja!$AA$3:$AD$28, 4, 0)), "", VLOOKUP( APIF_Import!$C98, INDIRECT( "Lookup_" &amp; APIF_Import!$M98:$O98), VLOOKUP( APIF_Import!$O98 &amp; APIF_Import!$I$1,Podesavanja!$AA$3:$AD$28, 4, 0), 0))</f>
        <v/>
      </c>
      <c r="J98" s="230" t="str">
        <f ca="1">IF( ISNA( VLOOKUP( APIF_Import!$O98 &amp; APIF_Import!$J$1,Podesavanja!$AA$3:$AD$28, 4, 0)), "", VLOOKUP( APIF_Import!$C98, INDIRECT( "Lookup_" &amp; APIF_Import!$M98:$O98), VLOOKUP( APIF_Import!$O98 &amp; APIF_Import!$J$1,Podesavanja!$AA$3:$AD$28, 4, 0), 0))</f>
        <v/>
      </c>
      <c r="K98" s="230" t="str">
        <f ca="1">IF( ISNA( VLOOKUP( APIF_Import!$O98 &amp; APIF_Import!$K$1,Podesavanja!$AA$3:$AD$28, 4, 0)), "", VLOOKUP( APIF_Import!$C98, INDIRECT( "Lookup_" &amp; APIF_Import!$M98:$O98), VLOOKUP( APIF_Import!$O98 &amp; APIF_Import!$K$1,Podesavanja!$AA$3:$AD$28, 4, 0), 0))</f>
        <v/>
      </c>
      <c r="L98" s="230" t="str">
        <f ca="1">IF( ISNA( VLOOKUP( APIF_Import!$O98 &amp; APIF_Import!$L$1,Podesavanja!$AA$3:$AD$28, 4, 0)), "", VLOOKUP( APIF_Import!$C98, INDIRECT( "Lookup_" &amp; APIF_Import!$M98:$O98), VLOOKUP( APIF_Import!$O98 &amp; APIF_Import!$L$1,Podesavanja!$AA$3:$AD$28, 4, 0), 0))</f>
        <v/>
      </c>
      <c r="M98" s="230" t="str">
        <f ca="1">IF( ISNA( VLOOKUP( APIF_Import!$O98 &amp; APIF_Import!$M$1,Podesavanja!$AA$3:$AD$28, 4, 0)), "", VLOOKUP( APIF_Import!$C98, INDIRECT( "Lookup_" &amp; APIF_Import!$M98:$O98), VLOOKUP( APIF_Import!$O98 &amp; APIF_Import!$M$1,Podesavanja!$AA$3:$AD$28, 4, 0), 0))</f>
        <v/>
      </c>
      <c r="N98" s="8">
        <v>97</v>
      </c>
      <c r="O98" s="230" t="s">
        <v>2896</v>
      </c>
    </row>
    <row r="99" spans="2:15">
      <c r="B99" s="44">
        <f ca="1">VLOOKUP( APIF_Import!$O99, Podesavanja!$N$3:$Q$9, 4, 0)</f>
        <v>2</v>
      </c>
      <c r="C99" s="229">
        <f ca="1">VLOOKUP( APIF_Import!$N99, Aop!$A$2:$P$456, 4, 0)</f>
        <v>131</v>
      </c>
      <c r="D99" s="230" t="str">
        <f ca="1">IF( ISNA( VLOOKUP( APIF_Import!$O99 &amp; APIF_Import!$D$1,Podesavanja!$AA$3:$AD$28, 4, 0)), "", SUBSTITUTE( VALUE( VLOOKUP( APIF_Import!$C99, INDIRECT( "Lookup_" &amp; APIF_Import!$O99), VLOOKUP( APIF_Import!$O99 &amp; APIF_Import!$D$1,Podesavanja!$AA$3:$AD$28, 4, 0), 0)), ".", ","))</f>
        <v>0</v>
      </c>
      <c r="E99" s="230">
        <f ca="1">IF( ISNA( VLOOKUP( APIF_Import!$O99 &amp; APIF_Import!$E$1,Podesavanja!$AA$3:$AD$28, 4, 0)), "", VLOOKUP( APIF_Import!$C99, INDIRECT( "Lookup_" &amp; APIF_Import!$O99), VLOOKUP( APIF_Import!$O99 &amp; APIF_Import!$E$1,Podesavanja!$AA$3:$AD$28, 4, 0), 0))</f>
        <v>0</v>
      </c>
      <c r="F99" s="230" t="str">
        <f ca="1">IF( ISNA( VLOOKUP( APIF_Import!$O99 &amp; APIF_Import!$F$1,Podesavanja!$AA$3:$AD$28, 4, 0)), "", VLOOKUP( APIF_Import!$C99, INDIRECT( "Lookup_" &amp; APIF_Import!$O99), VLOOKUP( APIF_Import!$O99 &amp; APIF_Import!$F$1,Podesavanja!$AA$3:$AD$28, 4, 0), 0))</f>
        <v/>
      </c>
      <c r="G99" s="230" t="str">
        <f ca="1">IF( ISNA( VLOOKUP( APIF_Import!$O99 &amp; APIF_Import!$G$1,Podesavanja!$AA$3:$AD$28, 4, 0)), "", VLOOKUP( APIF_Import!$C99, INDIRECT( "Lookup_" &amp; APIF_Import!$O99), VLOOKUP( APIF_Import!$O99 &amp; APIF_Import!$G$1,Podesavanja!$AA$3:$AD$28, 4, 0), 0))</f>
        <v/>
      </c>
      <c r="H99" s="230" t="str">
        <f ca="1">IF( ISNA( VLOOKUP( APIF_Import!$O99 &amp; APIF_Import!$H$1,Podesavanja!$AA$3:$AD$28, 4, 0)), "", VLOOKUP( APIF_Import!$C99, INDIRECT( "Lookup_" &amp; APIF_Import!$O99), VLOOKUP( APIF_Import!$O99 &amp; APIF_Import!$H$1,Podesavanja!$AA$3:$AD$28, 4, 0), 0))</f>
        <v/>
      </c>
      <c r="I99" s="230" t="str">
        <f ca="1">IF( ISNA( VLOOKUP( APIF_Import!$O99 &amp; APIF_Import!$I$1,Podesavanja!$AA$3:$AD$28, 4, 0)), "", VLOOKUP( APIF_Import!$C99, INDIRECT( "Lookup_" &amp; APIF_Import!$M99:$O99), VLOOKUP( APIF_Import!$O99 &amp; APIF_Import!$I$1,Podesavanja!$AA$3:$AD$28, 4, 0), 0))</f>
        <v/>
      </c>
      <c r="J99" s="230" t="str">
        <f ca="1">IF( ISNA( VLOOKUP( APIF_Import!$O99 &amp; APIF_Import!$J$1,Podesavanja!$AA$3:$AD$28, 4, 0)), "", VLOOKUP( APIF_Import!$C99, INDIRECT( "Lookup_" &amp; APIF_Import!$M99:$O99), VLOOKUP( APIF_Import!$O99 &amp; APIF_Import!$J$1,Podesavanja!$AA$3:$AD$28, 4, 0), 0))</f>
        <v/>
      </c>
      <c r="K99" s="230" t="str">
        <f ca="1">IF( ISNA( VLOOKUP( APIF_Import!$O99 &amp; APIF_Import!$K$1,Podesavanja!$AA$3:$AD$28, 4, 0)), "", VLOOKUP( APIF_Import!$C99, INDIRECT( "Lookup_" &amp; APIF_Import!$M99:$O99), VLOOKUP( APIF_Import!$O99 &amp; APIF_Import!$K$1,Podesavanja!$AA$3:$AD$28, 4, 0), 0))</f>
        <v/>
      </c>
      <c r="L99" s="230" t="str">
        <f ca="1">IF( ISNA( VLOOKUP( APIF_Import!$O99 &amp; APIF_Import!$L$1,Podesavanja!$AA$3:$AD$28, 4, 0)), "", VLOOKUP( APIF_Import!$C99, INDIRECT( "Lookup_" &amp; APIF_Import!$M99:$O99), VLOOKUP( APIF_Import!$O99 &amp; APIF_Import!$L$1,Podesavanja!$AA$3:$AD$28, 4, 0), 0))</f>
        <v/>
      </c>
      <c r="M99" s="230" t="str">
        <f ca="1">IF( ISNA( VLOOKUP( APIF_Import!$O99 &amp; APIF_Import!$M$1,Podesavanja!$AA$3:$AD$28, 4, 0)), "", VLOOKUP( APIF_Import!$C99, INDIRECT( "Lookup_" &amp; APIF_Import!$M99:$O99), VLOOKUP( APIF_Import!$O99 &amp; APIF_Import!$M$1,Podesavanja!$AA$3:$AD$28, 4, 0), 0))</f>
        <v/>
      </c>
      <c r="N99" s="8">
        <v>98</v>
      </c>
      <c r="O99" s="230" t="s">
        <v>2896</v>
      </c>
    </row>
    <row r="100" spans="2:15">
      <c r="B100" s="44">
        <f ca="1">VLOOKUP( APIF_Import!$O100, Podesavanja!$N$3:$Q$9, 4, 0)</f>
        <v>2</v>
      </c>
      <c r="C100" s="229">
        <f ca="1">VLOOKUP( APIF_Import!$N100, Aop!$A$2:$P$456, 4, 0)</f>
        <v>132</v>
      </c>
      <c r="D100" s="230" t="str">
        <f ca="1">IF( ISNA( VLOOKUP( APIF_Import!$O100 &amp; APIF_Import!$D$1,Podesavanja!$AA$3:$AD$28, 4, 0)), "", SUBSTITUTE( VALUE( VLOOKUP( APIF_Import!$C100, INDIRECT( "Lookup_" &amp; APIF_Import!$O100), VLOOKUP( APIF_Import!$O100 &amp; APIF_Import!$D$1,Podesavanja!$AA$3:$AD$28, 4, 0), 0)), ".", ","))</f>
        <v>0</v>
      </c>
      <c r="E100" s="230">
        <f ca="1">IF( ISNA( VLOOKUP( APIF_Import!$O100 &amp; APIF_Import!$E$1,Podesavanja!$AA$3:$AD$28, 4, 0)), "", VLOOKUP( APIF_Import!$C100, INDIRECT( "Lookup_" &amp; APIF_Import!$O100), VLOOKUP( APIF_Import!$O100 &amp; APIF_Import!$E$1,Podesavanja!$AA$3:$AD$28, 4, 0), 0))</f>
        <v>0</v>
      </c>
      <c r="F100" s="230" t="str">
        <f ca="1">IF( ISNA( VLOOKUP( APIF_Import!$O100 &amp; APIF_Import!$F$1,Podesavanja!$AA$3:$AD$28, 4, 0)), "", VLOOKUP( APIF_Import!$C100, INDIRECT( "Lookup_" &amp; APIF_Import!$O100), VLOOKUP( APIF_Import!$O100 &amp; APIF_Import!$F$1,Podesavanja!$AA$3:$AD$28, 4, 0), 0))</f>
        <v/>
      </c>
      <c r="G100" s="230" t="str">
        <f ca="1">IF( ISNA( VLOOKUP( APIF_Import!$O100 &amp; APIF_Import!$G$1,Podesavanja!$AA$3:$AD$28, 4, 0)), "", VLOOKUP( APIF_Import!$C100, INDIRECT( "Lookup_" &amp; APIF_Import!$O100), VLOOKUP( APIF_Import!$O100 &amp; APIF_Import!$G$1,Podesavanja!$AA$3:$AD$28, 4, 0), 0))</f>
        <v/>
      </c>
      <c r="H100" s="230" t="str">
        <f ca="1">IF( ISNA( VLOOKUP( APIF_Import!$O100 &amp; APIF_Import!$H$1,Podesavanja!$AA$3:$AD$28, 4, 0)), "", VLOOKUP( APIF_Import!$C100, INDIRECT( "Lookup_" &amp; APIF_Import!$O100), VLOOKUP( APIF_Import!$O100 &amp; APIF_Import!$H$1,Podesavanja!$AA$3:$AD$28, 4, 0), 0))</f>
        <v/>
      </c>
      <c r="I100" s="230" t="str">
        <f ca="1">IF( ISNA( VLOOKUP( APIF_Import!$O100 &amp; APIF_Import!$I$1,Podesavanja!$AA$3:$AD$28, 4, 0)), "", VLOOKUP( APIF_Import!$C100, INDIRECT( "Lookup_" &amp; APIF_Import!$M100:$O100), VLOOKUP( APIF_Import!$O100 &amp; APIF_Import!$I$1,Podesavanja!$AA$3:$AD$28, 4, 0), 0))</f>
        <v/>
      </c>
      <c r="J100" s="230" t="str">
        <f ca="1">IF( ISNA( VLOOKUP( APIF_Import!$O100 &amp; APIF_Import!$J$1,Podesavanja!$AA$3:$AD$28, 4, 0)), "", VLOOKUP( APIF_Import!$C100, INDIRECT( "Lookup_" &amp; APIF_Import!$M100:$O100), VLOOKUP( APIF_Import!$O100 &amp; APIF_Import!$J$1,Podesavanja!$AA$3:$AD$28, 4, 0), 0))</f>
        <v/>
      </c>
      <c r="K100" s="230" t="str">
        <f ca="1">IF( ISNA( VLOOKUP( APIF_Import!$O100 &amp; APIF_Import!$K$1,Podesavanja!$AA$3:$AD$28, 4, 0)), "", VLOOKUP( APIF_Import!$C100, INDIRECT( "Lookup_" &amp; APIF_Import!$M100:$O100), VLOOKUP( APIF_Import!$O100 &amp; APIF_Import!$K$1,Podesavanja!$AA$3:$AD$28, 4, 0), 0))</f>
        <v/>
      </c>
      <c r="L100" s="230" t="str">
        <f ca="1">IF( ISNA( VLOOKUP( APIF_Import!$O100 &amp; APIF_Import!$L$1,Podesavanja!$AA$3:$AD$28, 4, 0)), "", VLOOKUP( APIF_Import!$C100, INDIRECT( "Lookup_" &amp; APIF_Import!$M100:$O100), VLOOKUP( APIF_Import!$O100 &amp; APIF_Import!$L$1,Podesavanja!$AA$3:$AD$28, 4, 0), 0))</f>
        <v/>
      </c>
      <c r="M100" s="230" t="str">
        <f ca="1">IF( ISNA( VLOOKUP( APIF_Import!$O100 &amp; APIF_Import!$M$1,Podesavanja!$AA$3:$AD$28, 4, 0)), "", VLOOKUP( APIF_Import!$C100, INDIRECT( "Lookup_" &amp; APIF_Import!$M100:$O100), VLOOKUP( APIF_Import!$O100 &amp; APIF_Import!$M$1,Podesavanja!$AA$3:$AD$28, 4, 0), 0))</f>
        <v/>
      </c>
      <c r="N100" s="8">
        <v>99</v>
      </c>
      <c r="O100" s="230" t="s">
        <v>2896</v>
      </c>
    </row>
    <row r="101" spans="2:15">
      <c r="B101" s="44">
        <f ca="1">VLOOKUP( APIF_Import!$O101, Podesavanja!$N$3:$Q$9, 4, 0)</f>
        <v>2</v>
      </c>
      <c r="C101" s="229">
        <f ca="1">VLOOKUP( APIF_Import!$N101, Aop!$A$2:$P$456, 4, 0)</f>
        <v>133</v>
      </c>
      <c r="D101" s="230" t="str">
        <f ca="1">IF( ISNA( VLOOKUP( APIF_Import!$O101 &amp; APIF_Import!$D$1,Podesavanja!$AA$3:$AD$28, 4, 0)), "", SUBSTITUTE( VALUE( VLOOKUP( APIF_Import!$C101, INDIRECT( "Lookup_" &amp; APIF_Import!$O101), VLOOKUP( APIF_Import!$O101 &amp; APIF_Import!$D$1,Podesavanja!$AA$3:$AD$28, 4, 0), 0)), ".", ","))</f>
        <v>0</v>
      </c>
      <c r="E101" s="230">
        <f ca="1">IF( ISNA( VLOOKUP( APIF_Import!$O101 &amp; APIF_Import!$E$1,Podesavanja!$AA$3:$AD$28, 4, 0)), "", VLOOKUP( APIF_Import!$C101, INDIRECT( "Lookup_" &amp; APIF_Import!$O101), VLOOKUP( APIF_Import!$O101 &amp; APIF_Import!$E$1,Podesavanja!$AA$3:$AD$28, 4, 0), 0))</f>
        <v>0</v>
      </c>
      <c r="F101" s="230" t="str">
        <f ca="1">IF( ISNA( VLOOKUP( APIF_Import!$O101 &amp; APIF_Import!$F$1,Podesavanja!$AA$3:$AD$28, 4, 0)), "", VLOOKUP( APIF_Import!$C101, INDIRECT( "Lookup_" &amp; APIF_Import!$O101), VLOOKUP( APIF_Import!$O101 &amp; APIF_Import!$F$1,Podesavanja!$AA$3:$AD$28, 4, 0), 0))</f>
        <v/>
      </c>
      <c r="G101" s="230" t="str">
        <f ca="1">IF( ISNA( VLOOKUP( APIF_Import!$O101 &amp; APIF_Import!$G$1,Podesavanja!$AA$3:$AD$28, 4, 0)), "", VLOOKUP( APIF_Import!$C101, INDIRECT( "Lookup_" &amp; APIF_Import!$O101), VLOOKUP( APIF_Import!$O101 &amp; APIF_Import!$G$1,Podesavanja!$AA$3:$AD$28, 4, 0), 0))</f>
        <v/>
      </c>
      <c r="H101" s="230" t="str">
        <f ca="1">IF( ISNA( VLOOKUP( APIF_Import!$O101 &amp; APIF_Import!$H$1,Podesavanja!$AA$3:$AD$28, 4, 0)), "", VLOOKUP( APIF_Import!$C101, INDIRECT( "Lookup_" &amp; APIF_Import!$O101), VLOOKUP( APIF_Import!$O101 &amp; APIF_Import!$H$1,Podesavanja!$AA$3:$AD$28, 4, 0), 0))</f>
        <v/>
      </c>
      <c r="I101" s="230" t="str">
        <f ca="1">IF( ISNA( VLOOKUP( APIF_Import!$O101 &amp; APIF_Import!$I$1,Podesavanja!$AA$3:$AD$28, 4, 0)), "", VLOOKUP( APIF_Import!$C101, INDIRECT( "Lookup_" &amp; APIF_Import!$M101:$O101), VLOOKUP( APIF_Import!$O101 &amp; APIF_Import!$I$1,Podesavanja!$AA$3:$AD$28, 4, 0), 0))</f>
        <v/>
      </c>
      <c r="J101" s="230" t="str">
        <f ca="1">IF( ISNA( VLOOKUP( APIF_Import!$O101 &amp; APIF_Import!$J$1,Podesavanja!$AA$3:$AD$28, 4, 0)), "", VLOOKUP( APIF_Import!$C101, INDIRECT( "Lookup_" &amp; APIF_Import!$M101:$O101), VLOOKUP( APIF_Import!$O101 &amp; APIF_Import!$J$1,Podesavanja!$AA$3:$AD$28, 4, 0), 0))</f>
        <v/>
      </c>
      <c r="K101" s="230" t="str">
        <f ca="1">IF( ISNA( VLOOKUP( APIF_Import!$O101 &amp; APIF_Import!$K$1,Podesavanja!$AA$3:$AD$28, 4, 0)), "", VLOOKUP( APIF_Import!$C101, INDIRECT( "Lookup_" &amp; APIF_Import!$M101:$O101), VLOOKUP( APIF_Import!$O101 &amp; APIF_Import!$K$1,Podesavanja!$AA$3:$AD$28, 4, 0), 0))</f>
        <v/>
      </c>
      <c r="L101" s="230" t="str">
        <f ca="1">IF( ISNA( VLOOKUP( APIF_Import!$O101 &amp; APIF_Import!$L$1,Podesavanja!$AA$3:$AD$28, 4, 0)), "", VLOOKUP( APIF_Import!$C101, INDIRECT( "Lookup_" &amp; APIF_Import!$M101:$O101), VLOOKUP( APIF_Import!$O101 &amp; APIF_Import!$L$1,Podesavanja!$AA$3:$AD$28, 4, 0), 0))</f>
        <v/>
      </c>
      <c r="M101" s="230" t="str">
        <f ca="1">IF( ISNA( VLOOKUP( APIF_Import!$O101 &amp; APIF_Import!$M$1,Podesavanja!$AA$3:$AD$28, 4, 0)), "", VLOOKUP( APIF_Import!$C101, INDIRECT( "Lookup_" &amp; APIF_Import!$M101:$O101), VLOOKUP( APIF_Import!$O101 &amp; APIF_Import!$M$1,Podesavanja!$AA$3:$AD$28, 4, 0), 0))</f>
        <v/>
      </c>
      <c r="N101" s="8">
        <v>100</v>
      </c>
      <c r="O101" s="230" t="s">
        <v>2896</v>
      </c>
    </row>
    <row r="102" spans="2:15">
      <c r="B102" s="44">
        <f ca="1">VLOOKUP( APIF_Import!$O102, Podesavanja!$N$3:$Q$9, 4, 0)</f>
        <v>2</v>
      </c>
      <c r="C102" s="229">
        <f ca="1">VLOOKUP( APIF_Import!$N102, Aop!$A$2:$P$456, 4, 0)</f>
        <v>134</v>
      </c>
      <c r="D102" s="230" t="str">
        <f ca="1">IF( ISNA( VLOOKUP( APIF_Import!$O102 &amp; APIF_Import!$D$1,Podesavanja!$AA$3:$AD$28, 4, 0)), "", SUBSTITUTE( VALUE( VLOOKUP( APIF_Import!$C102, INDIRECT( "Lookup_" &amp; APIF_Import!$O102), VLOOKUP( APIF_Import!$O102 &amp; APIF_Import!$D$1,Podesavanja!$AA$3:$AD$28, 4, 0), 0)), ".", ","))</f>
        <v>0</v>
      </c>
      <c r="E102" s="230">
        <f ca="1">IF( ISNA( VLOOKUP( APIF_Import!$O102 &amp; APIF_Import!$E$1,Podesavanja!$AA$3:$AD$28, 4, 0)), "", VLOOKUP( APIF_Import!$C102, INDIRECT( "Lookup_" &amp; APIF_Import!$O102), VLOOKUP( APIF_Import!$O102 &amp; APIF_Import!$E$1,Podesavanja!$AA$3:$AD$28, 4, 0), 0))</f>
        <v>0</v>
      </c>
      <c r="F102" s="230" t="str">
        <f ca="1">IF( ISNA( VLOOKUP( APIF_Import!$O102 &amp; APIF_Import!$F$1,Podesavanja!$AA$3:$AD$28, 4, 0)), "", VLOOKUP( APIF_Import!$C102, INDIRECT( "Lookup_" &amp; APIF_Import!$O102), VLOOKUP( APIF_Import!$O102 &amp; APIF_Import!$F$1,Podesavanja!$AA$3:$AD$28, 4, 0), 0))</f>
        <v/>
      </c>
      <c r="G102" s="230" t="str">
        <f ca="1">IF( ISNA( VLOOKUP( APIF_Import!$O102 &amp; APIF_Import!$G$1,Podesavanja!$AA$3:$AD$28, 4, 0)), "", VLOOKUP( APIF_Import!$C102, INDIRECT( "Lookup_" &amp; APIF_Import!$O102), VLOOKUP( APIF_Import!$O102 &amp; APIF_Import!$G$1,Podesavanja!$AA$3:$AD$28, 4, 0), 0))</f>
        <v/>
      </c>
      <c r="H102" s="230" t="str">
        <f ca="1">IF( ISNA( VLOOKUP( APIF_Import!$O102 &amp; APIF_Import!$H$1,Podesavanja!$AA$3:$AD$28, 4, 0)), "", VLOOKUP( APIF_Import!$C102, INDIRECT( "Lookup_" &amp; APIF_Import!$O102), VLOOKUP( APIF_Import!$O102 &amp; APIF_Import!$H$1,Podesavanja!$AA$3:$AD$28, 4, 0), 0))</f>
        <v/>
      </c>
      <c r="I102" s="230" t="str">
        <f ca="1">IF( ISNA( VLOOKUP( APIF_Import!$O102 &amp; APIF_Import!$I$1,Podesavanja!$AA$3:$AD$28, 4, 0)), "", VLOOKUP( APIF_Import!$C102, INDIRECT( "Lookup_" &amp; APIF_Import!$M102:$O102), VLOOKUP( APIF_Import!$O102 &amp; APIF_Import!$I$1,Podesavanja!$AA$3:$AD$28, 4, 0), 0))</f>
        <v/>
      </c>
      <c r="J102" s="230" t="str">
        <f ca="1">IF( ISNA( VLOOKUP( APIF_Import!$O102 &amp; APIF_Import!$J$1,Podesavanja!$AA$3:$AD$28, 4, 0)), "", VLOOKUP( APIF_Import!$C102, INDIRECT( "Lookup_" &amp; APIF_Import!$M102:$O102), VLOOKUP( APIF_Import!$O102 &amp; APIF_Import!$J$1,Podesavanja!$AA$3:$AD$28, 4, 0), 0))</f>
        <v/>
      </c>
      <c r="K102" s="230" t="str">
        <f ca="1">IF( ISNA( VLOOKUP( APIF_Import!$O102 &amp; APIF_Import!$K$1,Podesavanja!$AA$3:$AD$28, 4, 0)), "", VLOOKUP( APIF_Import!$C102, INDIRECT( "Lookup_" &amp; APIF_Import!$M102:$O102), VLOOKUP( APIF_Import!$O102 &amp; APIF_Import!$K$1,Podesavanja!$AA$3:$AD$28, 4, 0), 0))</f>
        <v/>
      </c>
      <c r="L102" s="230" t="str">
        <f ca="1">IF( ISNA( VLOOKUP( APIF_Import!$O102 &amp; APIF_Import!$L$1,Podesavanja!$AA$3:$AD$28, 4, 0)), "", VLOOKUP( APIF_Import!$C102, INDIRECT( "Lookup_" &amp; APIF_Import!$M102:$O102), VLOOKUP( APIF_Import!$O102 &amp; APIF_Import!$L$1,Podesavanja!$AA$3:$AD$28, 4, 0), 0))</f>
        <v/>
      </c>
      <c r="M102" s="230" t="str">
        <f ca="1">IF( ISNA( VLOOKUP( APIF_Import!$O102 &amp; APIF_Import!$M$1,Podesavanja!$AA$3:$AD$28, 4, 0)), "", VLOOKUP( APIF_Import!$C102, INDIRECT( "Lookup_" &amp; APIF_Import!$M102:$O102), VLOOKUP( APIF_Import!$O102 &amp; APIF_Import!$M$1,Podesavanja!$AA$3:$AD$28, 4, 0), 0))</f>
        <v/>
      </c>
      <c r="N102" s="8">
        <v>101</v>
      </c>
      <c r="O102" s="230" t="s">
        <v>2896</v>
      </c>
    </row>
    <row r="103" spans="2:15">
      <c r="B103" s="44">
        <f ca="1">VLOOKUP( APIF_Import!$O103, Podesavanja!$N$3:$Q$9, 4, 0)</f>
        <v>2</v>
      </c>
      <c r="C103" s="229">
        <f ca="1">VLOOKUP( APIF_Import!$N103, Aop!$A$2:$P$456, 4, 0)</f>
        <v>135</v>
      </c>
      <c r="D103" s="230" t="str">
        <f ca="1">IF( ISNA( VLOOKUP( APIF_Import!$O103 &amp; APIF_Import!$D$1,Podesavanja!$AA$3:$AD$28, 4, 0)), "", SUBSTITUTE( VALUE( VLOOKUP( APIF_Import!$C103, INDIRECT( "Lookup_" &amp; APIF_Import!$O103), VLOOKUP( APIF_Import!$O103 &amp; APIF_Import!$D$1,Podesavanja!$AA$3:$AD$28, 4, 0), 0)), ".", ","))</f>
        <v>0</v>
      </c>
      <c r="E103" s="230">
        <f ca="1">IF( ISNA( VLOOKUP( APIF_Import!$O103 &amp; APIF_Import!$E$1,Podesavanja!$AA$3:$AD$28, 4, 0)), "", VLOOKUP( APIF_Import!$C103, INDIRECT( "Lookup_" &amp; APIF_Import!$O103), VLOOKUP( APIF_Import!$O103 &amp; APIF_Import!$E$1,Podesavanja!$AA$3:$AD$28, 4, 0), 0))</f>
        <v>0</v>
      </c>
      <c r="F103" s="230" t="str">
        <f ca="1">IF( ISNA( VLOOKUP( APIF_Import!$O103 &amp; APIF_Import!$F$1,Podesavanja!$AA$3:$AD$28, 4, 0)), "", VLOOKUP( APIF_Import!$C103, INDIRECT( "Lookup_" &amp; APIF_Import!$O103), VLOOKUP( APIF_Import!$O103 &amp; APIF_Import!$F$1,Podesavanja!$AA$3:$AD$28, 4, 0), 0))</f>
        <v/>
      </c>
      <c r="G103" s="230" t="str">
        <f ca="1">IF( ISNA( VLOOKUP( APIF_Import!$O103 &amp; APIF_Import!$G$1,Podesavanja!$AA$3:$AD$28, 4, 0)), "", VLOOKUP( APIF_Import!$C103, INDIRECT( "Lookup_" &amp; APIF_Import!$O103), VLOOKUP( APIF_Import!$O103 &amp; APIF_Import!$G$1,Podesavanja!$AA$3:$AD$28, 4, 0), 0))</f>
        <v/>
      </c>
      <c r="H103" s="230" t="str">
        <f ca="1">IF( ISNA( VLOOKUP( APIF_Import!$O103 &amp; APIF_Import!$H$1,Podesavanja!$AA$3:$AD$28, 4, 0)), "", VLOOKUP( APIF_Import!$C103, INDIRECT( "Lookup_" &amp; APIF_Import!$O103), VLOOKUP( APIF_Import!$O103 &amp; APIF_Import!$H$1,Podesavanja!$AA$3:$AD$28, 4, 0), 0))</f>
        <v/>
      </c>
      <c r="I103" s="230" t="str">
        <f ca="1">IF( ISNA( VLOOKUP( APIF_Import!$O103 &amp; APIF_Import!$I$1,Podesavanja!$AA$3:$AD$28, 4, 0)), "", VLOOKUP( APIF_Import!$C103, INDIRECT( "Lookup_" &amp; APIF_Import!$M103:$O103), VLOOKUP( APIF_Import!$O103 &amp; APIF_Import!$I$1,Podesavanja!$AA$3:$AD$28, 4, 0), 0))</f>
        <v/>
      </c>
      <c r="J103" s="230" t="str">
        <f ca="1">IF( ISNA( VLOOKUP( APIF_Import!$O103 &amp; APIF_Import!$J$1,Podesavanja!$AA$3:$AD$28, 4, 0)), "", VLOOKUP( APIF_Import!$C103, INDIRECT( "Lookup_" &amp; APIF_Import!$M103:$O103), VLOOKUP( APIF_Import!$O103 &amp; APIF_Import!$J$1,Podesavanja!$AA$3:$AD$28, 4, 0), 0))</f>
        <v/>
      </c>
      <c r="K103" s="230" t="str">
        <f ca="1">IF( ISNA( VLOOKUP( APIF_Import!$O103 &amp; APIF_Import!$K$1,Podesavanja!$AA$3:$AD$28, 4, 0)), "", VLOOKUP( APIF_Import!$C103, INDIRECT( "Lookup_" &amp; APIF_Import!$M103:$O103), VLOOKUP( APIF_Import!$O103 &amp; APIF_Import!$K$1,Podesavanja!$AA$3:$AD$28, 4, 0), 0))</f>
        <v/>
      </c>
      <c r="L103" s="230" t="str">
        <f ca="1">IF( ISNA( VLOOKUP( APIF_Import!$O103 &amp; APIF_Import!$L$1,Podesavanja!$AA$3:$AD$28, 4, 0)), "", VLOOKUP( APIF_Import!$C103, INDIRECT( "Lookup_" &amp; APIF_Import!$M103:$O103), VLOOKUP( APIF_Import!$O103 &amp; APIF_Import!$L$1,Podesavanja!$AA$3:$AD$28, 4, 0), 0))</f>
        <v/>
      </c>
      <c r="M103" s="230" t="str">
        <f ca="1">IF( ISNA( VLOOKUP( APIF_Import!$O103 &amp; APIF_Import!$M$1,Podesavanja!$AA$3:$AD$28, 4, 0)), "", VLOOKUP( APIF_Import!$C103, INDIRECT( "Lookup_" &amp; APIF_Import!$M103:$O103), VLOOKUP( APIF_Import!$O103 &amp; APIF_Import!$M$1,Podesavanja!$AA$3:$AD$28, 4, 0), 0))</f>
        <v/>
      </c>
      <c r="N103" s="8">
        <v>102</v>
      </c>
      <c r="O103" s="230" t="s">
        <v>2896</v>
      </c>
    </row>
    <row r="104" spans="2:15">
      <c r="B104" s="44">
        <f ca="1">VLOOKUP( APIF_Import!$O104, Podesavanja!$N$3:$Q$9, 4, 0)</f>
        <v>2</v>
      </c>
      <c r="C104" s="229">
        <f ca="1">VLOOKUP( APIF_Import!$N104, Aop!$A$2:$P$456, 4, 0)</f>
        <v>136</v>
      </c>
      <c r="D104" s="230" t="str">
        <f ca="1">IF( ISNA( VLOOKUP( APIF_Import!$O104 &amp; APIF_Import!$D$1,Podesavanja!$AA$3:$AD$28, 4, 0)), "", SUBSTITUTE( VALUE( VLOOKUP( APIF_Import!$C104, INDIRECT( "Lookup_" &amp; APIF_Import!$O104), VLOOKUP( APIF_Import!$O104 &amp; APIF_Import!$D$1,Podesavanja!$AA$3:$AD$28, 4, 0), 0)), ".", ","))</f>
        <v>0</v>
      </c>
      <c r="E104" s="230">
        <f ca="1">IF( ISNA( VLOOKUP( APIF_Import!$O104 &amp; APIF_Import!$E$1,Podesavanja!$AA$3:$AD$28, 4, 0)), "", VLOOKUP( APIF_Import!$C104, INDIRECT( "Lookup_" &amp; APIF_Import!$O104), VLOOKUP( APIF_Import!$O104 &amp; APIF_Import!$E$1,Podesavanja!$AA$3:$AD$28, 4, 0), 0))</f>
        <v>0</v>
      </c>
      <c r="F104" s="230" t="str">
        <f ca="1">IF( ISNA( VLOOKUP( APIF_Import!$O104 &amp; APIF_Import!$F$1,Podesavanja!$AA$3:$AD$28, 4, 0)), "", VLOOKUP( APIF_Import!$C104, INDIRECT( "Lookup_" &amp; APIF_Import!$O104), VLOOKUP( APIF_Import!$O104 &amp; APIF_Import!$F$1,Podesavanja!$AA$3:$AD$28, 4, 0), 0))</f>
        <v/>
      </c>
      <c r="G104" s="230" t="str">
        <f ca="1">IF( ISNA( VLOOKUP( APIF_Import!$O104 &amp; APIF_Import!$G$1,Podesavanja!$AA$3:$AD$28, 4, 0)), "", VLOOKUP( APIF_Import!$C104, INDIRECT( "Lookup_" &amp; APIF_Import!$O104), VLOOKUP( APIF_Import!$O104 &amp; APIF_Import!$G$1,Podesavanja!$AA$3:$AD$28, 4, 0), 0))</f>
        <v/>
      </c>
      <c r="H104" s="230" t="str">
        <f ca="1">IF( ISNA( VLOOKUP( APIF_Import!$O104 &amp; APIF_Import!$H$1,Podesavanja!$AA$3:$AD$28, 4, 0)), "", VLOOKUP( APIF_Import!$C104, INDIRECT( "Lookup_" &amp; APIF_Import!$O104), VLOOKUP( APIF_Import!$O104 &amp; APIF_Import!$H$1,Podesavanja!$AA$3:$AD$28, 4, 0), 0))</f>
        <v/>
      </c>
      <c r="I104" s="230" t="str">
        <f ca="1">IF( ISNA( VLOOKUP( APIF_Import!$O104 &amp; APIF_Import!$I$1,Podesavanja!$AA$3:$AD$28, 4, 0)), "", VLOOKUP( APIF_Import!$C104, INDIRECT( "Lookup_" &amp; APIF_Import!$M104:$O104), VLOOKUP( APIF_Import!$O104 &amp; APIF_Import!$I$1,Podesavanja!$AA$3:$AD$28, 4, 0), 0))</f>
        <v/>
      </c>
      <c r="J104" s="230" t="str">
        <f ca="1">IF( ISNA( VLOOKUP( APIF_Import!$O104 &amp; APIF_Import!$J$1,Podesavanja!$AA$3:$AD$28, 4, 0)), "", VLOOKUP( APIF_Import!$C104, INDIRECT( "Lookup_" &amp; APIF_Import!$M104:$O104), VLOOKUP( APIF_Import!$O104 &amp; APIF_Import!$J$1,Podesavanja!$AA$3:$AD$28, 4, 0), 0))</f>
        <v/>
      </c>
      <c r="K104" s="230" t="str">
        <f ca="1">IF( ISNA( VLOOKUP( APIF_Import!$O104 &amp; APIF_Import!$K$1,Podesavanja!$AA$3:$AD$28, 4, 0)), "", VLOOKUP( APIF_Import!$C104, INDIRECT( "Lookup_" &amp; APIF_Import!$M104:$O104), VLOOKUP( APIF_Import!$O104 &amp; APIF_Import!$K$1,Podesavanja!$AA$3:$AD$28, 4, 0), 0))</f>
        <v/>
      </c>
      <c r="L104" s="230" t="str">
        <f ca="1">IF( ISNA( VLOOKUP( APIF_Import!$O104 &amp; APIF_Import!$L$1,Podesavanja!$AA$3:$AD$28, 4, 0)), "", VLOOKUP( APIF_Import!$C104, INDIRECT( "Lookup_" &amp; APIF_Import!$M104:$O104), VLOOKUP( APIF_Import!$O104 &amp; APIF_Import!$L$1,Podesavanja!$AA$3:$AD$28, 4, 0), 0))</f>
        <v/>
      </c>
      <c r="M104" s="230" t="str">
        <f ca="1">IF( ISNA( VLOOKUP( APIF_Import!$O104 &amp; APIF_Import!$M$1,Podesavanja!$AA$3:$AD$28, 4, 0)), "", VLOOKUP( APIF_Import!$C104, INDIRECT( "Lookup_" &amp; APIF_Import!$M104:$O104), VLOOKUP( APIF_Import!$O104 &amp; APIF_Import!$M$1,Podesavanja!$AA$3:$AD$28, 4, 0), 0))</f>
        <v/>
      </c>
      <c r="N104" s="8">
        <v>103</v>
      </c>
      <c r="O104" s="230" t="s">
        <v>2896</v>
      </c>
    </row>
    <row r="105" spans="2:15">
      <c r="B105" s="44">
        <f ca="1">VLOOKUP( APIF_Import!$O105, Podesavanja!$N$3:$Q$9, 4, 0)</f>
        <v>2</v>
      </c>
      <c r="C105" s="229">
        <f ca="1">VLOOKUP( APIF_Import!$N105, Aop!$A$2:$P$456, 4, 0)</f>
        <v>137</v>
      </c>
      <c r="D105" s="230" t="str">
        <f ca="1">IF( ISNA( VLOOKUP( APIF_Import!$O105 &amp; APIF_Import!$D$1,Podesavanja!$AA$3:$AD$28, 4, 0)), "", SUBSTITUTE( VALUE( VLOOKUP( APIF_Import!$C105, INDIRECT( "Lookup_" &amp; APIF_Import!$O105), VLOOKUP( APIF_Import!$O105 &amp; APIF_Import!$D$1,Podesavanja!$AA$3:$AD$28, 4, 0), 0)), ".", ","))</f>
        <v>0</v>
      </c>
      <c r="E105" s="230">
        <f ca="1">IF( ISNA( VLOOKUP( APIF_Import!$O105 &amp; APIF_Import!$E$1,Podesavanja!$AA$3:$AD$28, 4, 0)), "", VLOOKUP( APIF_Import!$C105, INDIRECT( "Lookup_" &amp; APIF_Import!$O105), VLOOKUP( APIF_Import!$O105 &amp; APIF_Import!$E$1,Podesavanja!$AA$3:$AD$28, 4, 0), 0))</f>
        <v>0</v>
      </c>
      <c r="F105" s="230" t="str">
        <f ca="1">IF( ISNA( VLOOKUP( APIF_Import!$O105 &amp; APIF_Import!$F$1,Podesavanja!$AA$3:$AD$28, 4, 0)), "", VLOOKUP( APIF_Import!$C105, INDIRECT( "Lookup_" &amp; APIF_Import!$O105), VLOOKUP( APIF_Import!$O105 &amp; APIF_Import!$F$1,Podesavanja!$AA$3:$AD$28, 4, 0), 0))</f>
        <v/>
      </c>
      <c r="G105" s="230" t="str">
        <f ca="1">IF( ISNA( VLOOKUP( APIF_Import!$O105 &amp; APIF_Import!$G$1,Podesavanja!$AA$3:$AD$28, 4, 0)), "", VLOOKUP( APIF_Import!$C105, INDIRECT( "Lookup_" &amp; APIF_Import!$O105), VLOOKUP( APIF_Import!$O105 &amp; APIF_Import!$G$1,Podesavanja!$AA$3:$AD$28, 4, 0), 0))</f>
        <v/>
      </c>
      <c r="H105" s="230" t="str">
        <f ca="1">IF( ISNA( VLOOKUP( APIF_Import!$O105 &amp; APIF_Import!$H$1,Podesavanja!$AA$3:$AD$28, 4, 0)), "", VLOOKUP( APIF_Import!$C105, INDIRECT( "Lookup_" &amp; APIF_Import!$O105), VLOOKUP( APIF_Import!$O105 &amp; APIF_Import!$H$1,Podesavanja!$AA$3:$AD$28, 4, 0), 0))</f>
        <v/>
      </c>
      <c r="I105" s="230" t="str">
        <f ca="1">IF( ISNA( VLOOKUP( APIF_Import!$O105 &amp; APIF_Import!$I$1,Podesavanja!$AA$3:$AD$28, 4, 0)), "", VLOOKUP( APIF_Import!$C105, INDIRECT( "Lookup_" &amp; APIF_Import!$M105:$O105), VLOOKUP( APIF_Import!$O105 &amp; APIF_Import!$I$1,Podesavanja!$AA$3:$AD$28, 4, 0), 0))</f>
        <v/>
      </c>
      <c r="J105" s="230" t="str">
        <f ca="1">IF( ISNA( VLOOKUP( APIF_Import!$O105 &amp; APIF_Import!$J$1,Podesavanja!$AA$3:$AD$28, 4, 0)), "", VLOOKUP( APIF_Import!$C105, INDIRECT( "Lookup_" &amp; APIF_Import!$M105:$O105), VLOOKUP( APIF_Import!$O105 &amp; APIF_Import!$J$1,Podesavanja!$AA$3:$AD$28, 4, 0), 0))</f>
        <v/>
      </c>
      <c r="K105" s="230" t="str">
        <f ca="1">IF( ISNA( VLOOKUP( APIF_Import!$O105 &amp; APIF_Import!$K$1,Podesavanja!$AA$3:$AD$28, 4, 0)), "", VLOOKUP( APIF_Import!$C105, INDIRECT( "Lookup_" &amp; APIF_Import!$M105:$O105), VLOOKUP( APIF_Import!$O105 &amp; APIF_Import!$K$1,Podesavanja!$AA$3:$AD$28, 4, 0), 0))</f>
        <v/>
      </c>
      <c r="L105" s="230" t="str">
        <f ca="1">IF( ISNA( VLOOKUP( APIF_Import!$O105 &amp; APIF_Import!$L$1,Podesavanja!$AA$3:$AD$28, 4, 0)), "", VLOOKUP( APIF_Import!$C105, INDIRECT( "Lookup_" &amp; APIF_Import!$M105:$O105), VLOOKUP( APIF_Import!$O105 &amp; APIF_Import!$L$1,Podesavanja!$AA$3:$AD$28, 4, 0), 0))</f>
        <v/>
      </c>
      <c r="M105" s="230" t="str">
        <f ca="1">IF( ISNA( VLOOKUP( APIF_Import!$O105 &amp; APIF_Import!$M$1,Podesavanja!$AA$3:$AD$28, 4, 0)), "", VLOOKUP( APIF_Import!$C105, INDIRECT( "Lookup_" &amp; APIF_Import!$M105:$O105), VLOOKUP( APIF_Import!$O105 &amp; APIF_Import!$M$1,Podesavanja!$AA$3:$AD$28, 4, 0), 0))</f>
        <v/>
      </c>
      <c r="N105" s="8">
        <v>104</v>
      </c>
      <c r="O105" s="230" t="s">
        <v>2896</v>
      </c>
    </row>
    <row r="106" spans="2:15">
      <c r="B106" s="44">
        <f ca="1">VLOOKUP( APIF_Import!$O106, Podesavanja!$N$3:$Q$9, 4, 0)</f>
        <v>2</v>
      </c>
      <c r="C106" s="229">
        <f ca="1">VLOOKUP( APIF_Import!$N106, Aop!$A$2:$P$456, 4, 0)</f>
        <v>138</v>
      </c>
      <c r="D106" s="230" t="str">
        <f ca="1">IF( ISNA( VLOOKUP( APIF_Import!$O106 &amp; APIF_Import!$D$1,Podesavanja!$AA$3:$AD$28, 4, 0)), "", SUBSTITUTE( VALUE( VLOOKUP( APIF_Import!$C106, INDIRECT( "Lookup_" &amp; APIF_Import!$O106), VLOOKUP( APIF_Import!$O106 &amp; APIF_Import!$D$1,Podesavanja!$AA$3:$AD$28, 4, 0), 0)), ".", ","))</f>
        <v>0</v>
      </c>
      <c r="E106" s="230">
        <f ca="1">IF( ISNA( VLOOKUP( APIF_Import!$O106 &amp; APIF_Import!$E$1,Podesavanja!$AA$3:$AD$28, 4, 0)), "", VLOOKUP( APIF_Import!$C106, INDIRECT( "Lookup_" &amp; APIF_Import!$O106), VLOOKUP( APIF_Import!$O106 &amp; APIF_Import!$E$1,Podesavanja!$AA$3:$AD$28, 4, 0), 0))</f>
        <v>0</v>
      </c>
      <c r="F106" s="230" t="str">
        <f ca="1">IF( ISNA( VLOOKUP( APIF_Import!$O106 &amp; APIF_Import!$F$1,Podesavanja!$AA$3:$AD$28, 4, 0)), "", VLOOKUP( APIF_Import!$C106, INDIRECT( "Lookup_" &amp; APIF_Import!$O106), VLOOKUP( APIF_Import!$O106 &amp; APIF_Import!$F$1,Podesavanja!$AA$3:$AD$28, 4, 0), 0))</f>
        <v/>
      </c>
      <c r="G106" s="230" t="str">
        <f ca="1">IF( ISNA( VLOOKUP( APIF_Import!$O106 &amp; APIF_Import!$G$1,Podesavanja!$AA$3:$AD$28, 4, 0)), "", VLOOKUP( APIF_Import!$C106, INDIRECT( "Lookup_" &amp; APIF_Import!$O106), VLOOKUP( APIF_Import!$O106 &amp; APIF_Import!$G$1,Podesavanja!$AA$3:$AD$28, 4, 0), 0))</f>
        <v/>
      </c>
      <c r="H106" s="230" t="str">
        <f ca="1">IF( ISNA( VLOOKUP( APIF_Import!$O106 &amp; APIF_Import!$H$1,Podesavanja!$AA$3:$AD$28, 4, 0)), "", VLOOKUP( APIF_Import!$C106, INDIRECT( "Lookup_" &amp; APIF_Import!$O106), VLOOKUP( APIF_Import!$O106 &amp; APIF_Import!$H$1,Podesavanja!$AA$3:$AD$28, 4, 0), 0))</f>
        <v/>
      </c>
      <c r="I106" s="230" t="str">
        <f ca="1">IF( ISNA( VLOOKUP( APIF_Import!$O106 &amp; APIF_Import!$I$1,Podesavanja!$AA$3:$AD$28, 4, 0)), "", VLOOKUP( APIF_Import!$C106, INDIRECT( "Lookup_" &amp; APIF_Import!$M106:$O106), VLOOKUP( APIF_Import!$O106 &amp; APIF_Import!$I$1,Podesavanja!$AA$3:$AD$28, 4, 0), 0))</f>
        <v/>
      </c>
      <c r="J106" s="230" t="str">
        <f ca="1">IF( ISNA( VLOOKUP( APIF_Import!$O106 &amp; APIF_Import!$J$1,Podesavanja!$AA$3:$AD$28, 4, 0)), "", VLOOKUP( APIF_Import!$C106, INDIRECT( "Lookup_" &amp; APIF_Import!$M106:$O106), VLOOKUP( APIF_Import!$O106 &amp; APIF_Import!$J$1,Podesavanja!$AA$3:$AD$28, 4, 0), 0))</f>
        <v/>
      </c>
      <c r="K106" s="230" t="str">
        <f ca="1">IF( ISNA( VLOOKUP( APIF_Import!$O106 &amp; APIF_Import!$K$1,Podesavanja!$AA$3:$AD$28, 4, 0)), "", VLOOKUP( APIF_Import!$C106, INDIRECT( "Lookup_" &amp; APIF_Import!$M106:$O106), VLOOKUP( APIF_Import!$O106 &amp; APIF_Import!$K$1,Podesavanja!$AA$3:$AD$28, 4, 0), 0))</f>
        <v/>
      </c>
      <c r="L106" s="230" t="str">
        <f ca="1">IF( ISNA( VLOOKUP( APIF_Import!$O106 &amp; APIF_Import!$L$1,Podesavanja!$AA$3:$AD$28, 4, 0)), "", VLOOKUP( APIF_Import!$C106, INDIRECT( "Lookup_" &amp; APIF_Import!$M106:$O106), VLOOKUP( APIF_Import!$O106 &amp; APIF_Import!$L$1,Podesavanja!$AA$3:$AD$28, 4, 0), 0))</f>
        <v/>
      </c>
      <c r="M106" s="230" t="str">
        <f ca="1">IF( ISNA( VLOOKUP( APIF_Import!$O106 &amp; APIF_Import!$M$1,Podesavanja!$AA$3:$AD$28, 4, 0)), "", VLOOKUP( APIF_Import!$C106, INDIRECT( "Lookup_" &amp; APIF_Import!$M106:$O106), VLOOKUP( APIF_Import!$O106 &amp; APIF_Import!$M$1,Podesavanja!$AA$3:$AD$28, 4, 0), 0))</f>
        <v/>
      </c>
      <c r="N106" s="8">
        <v>105</v>
      </c>
      <c r="O106" s="230" t="s">
        <v>2896</v>
      </c>
    </row>
    <row r="107" spans="2:15">
      <c r="B107" s="44">
        <f ca="1">VLOOKUP( APIF_Import!$O107, Podesavanja!$N$3:$Q$9, 4, 0)</f>
        <v>2</v>
      </c>
      <c r="C107" s="229">
        <f ca="1">VLOOKUP( APIF_Import!$N107, Aop!$A$2:$P$456, 4, 0)</f>
        <v>139</v>
      </c>
      <c r="D107" s="230" t="str">
        <f ca="1">IF( ISNA( VLOOKUP( APIF_Import!$O107 &amp; APIF_Import!$D$1,Podesavanja!$AA$3:$AD$28, 4, 0)), "", SUBSTITUTE( VALUE( VLOOKUP( APIF_Import!$C107, INDIRECT( "Lookup_" &amp; APIF_Import!$O107), VLOOKUP( APIF_Import!$O107 &amp; APIF_Import!$D$1,Podesavanja!$AA$3:$AD$28, 4, 0), 0)), ".", ","))</f>
        <v>0</v>
      </c>
      <c r="E107" s="230">
        <f ca="1">IF( ISNA( VLOOKUP( APIF_Import!$O107 &amp; APIF_Import!$E$1,Podesavanja!$AA$3:$AD$28, 4, 0)), "", VLOOKUP( APIF_Import!$C107, INDIRECT( "Lookup_" &amp; APIF_Import!$O107), VLOOKUP( APIF_Import!$O107 &amp; APIF_Import!$E$1,Podesavanja!$AA$3:$AD$28, 4, 0), 0))</f>
        <v>0</v>
      </c>
      <c r="F107" s="230" t="str">
        <f ca="1">IF( ISNA( VLOOKUP( APIF_Import!$O107 &amp; APIF_Import!$F$1,Podesavanja!$AA$3:$AD$28, 4, 0)), "", VLOOKUP( APIF_Import!$C107, INDIRECT( "Lookup_" &amp; APIF_Import!$O107), VLOOKUP( APIF_Import!$O107 &amp; APIF_Import!$F$1,Podesavanja!$AA$3:$AD$28, 4, 0), 0))</f>
        <v/>
      </c>
      <c r="G107" s="230" t="str">
        <f ca="1">IF( ISNA( VLOOKUP( APIF_Import!$O107 &amp; APIF_Import!$G$1,Podesavanja!$AA$3:$AD$28, 4, 0)), "", VLOOKUP( APIF_Import!$C107, INDIRECT( "Lookup_" &amp; APIF_Import!$O107), VLOOKUP( APIF_Import!$O107 &amp; APIF_Import!$G$1,Podesavanja!$AA$3:$AD$28, 4, 0), 0))</f>
        <v/>
      </c>
      <c r="H107" s="230" t="str">
        <f ca="1">IF( ISNA( VLOOKUP( APIF_Import!$O107 &amp; APIF_Import!$H$1,Podesavanja!$AA$3:$AD$28, 4, 0)), "", VLOOKUP( APIF_Import!$C107, INDIRECT( "Lookup_" &amp; APIF_Import!$O107), VLOOKUP( APIF_Import!$O107 &amp; APIF_Import!$H$1,Podesavanja!$AA$3:$AD$28, 4, 0), 0))</f>
        <v/>
      </c>
      <c r="I107" s="230" t="str">
        <f ca="1">IF( ISNA( VLOOKUP( APIF_Import!$O107 &amp; APIF_Import!$I$1,Podesavanja!$AA$3:$AD$28, 4, 0)), "", VLOOKUP( APIF_Import!$C107, INDIRECT( "Lookup_" &amp; APIF_Import!$M107:$O107), VLOOKUP( APIF_Import!$O107 &amp; APIF_Import!$I$1,Podesavanja!$AA$3:$AD$28, 4, 0), 0))</f>
        <v/>
      </c>
      <c r="J107" s="230" t="str">
        <f ca="1">IF( ISNA( VLOOKUP( APIF_Import!$O107 &amp; APIF_Import!$J$1,Podesavanja!$AA$3:$AD$28, 4, 0)), "", VLOOKUP( APIF_Import!$C107, INDIRECT( "Lookup_" &amp; APIF_Import!$M107:$O107), VLOOKUP( APIF_Import!$O107 &amp; APIF_Import!$J$1,Podesavanja!$AA$3:$AD$28, 4, 0), 0))</f>
        <v/>
      </c>
      <c r="K107" s="230" t="str">
        <f ca="1">IF( ISNA( VLOOKUP( APIF_Import!$O107 &amp; APIF_Import!$K$1,Podesavanja!$AA$3:$AD$28, 4, 0)), "", VLOOKUP( APIF_Import!$C107, INDIRECT( "Lookup_" &amp; APIF_Import!$M107:$O107), VLOOKUP( APIF_Import!$O107 &amp; APIF_Import!$K$1,Podesavanja!$AA$3:$AD$28, 4, 0), 0))</f>
        <v/>
      </c>
      <c r="L107" s="230" t="str">
        <f ca="1">IF( ISNA( VLOOKUP( APIF_Import!$O107 &amp; APIF_Import!$L$1,Podesavanja!$AA$3:$AD$28, 4, 0)), "", VLOOKUP( APIF_Import!$C107, INDIRECT( "Lookup_" &amp; APIF_Import!$M107:$O107), VLOOKUP( APIF_Import!$O107 &amp; APIF_Import!$L$1,Podesavanja!$AA$3:$AD$28, 4, 0), 0))</f>
        <v/>
      </c>
      <c r="M107" s="230" t="str">
        <f ca="1">IF( ISNA( VLOOKUP( APIF_Import!$O107 &amp; APIF_Import!$M$1,Podesavanja!$AA$3:$AD$28, 4, 0)), "", VLOOKUP( APIF_Import!$C107, INDIRECT( "Lookup_" &amp; APIF_Import!$M107:$O107), VLOOKUP( APIF_Import!$O107 &amp; APIF_Import!$M$1,Podesavanja!$AA$3:$AD$28, 4, 0), 0))</f>
        <v/>
      </c>
      <c r="N107" s="8">
        <v>106</v>
      </c>
      <c r="O107" s="230" t="s">
        <v>2896</v>
      </c>
    </row>
    <row r="108" spans="2:15">
      <c r="B108" s="44">
        <f ca="1">VLOOKUP( APIF_Import!$O108, Podesavanja!$N$3:$Q$9, 4, 0)</f>
        <v>2</v>
      </c>
      <c r="C108" s="229">
        <f ca="1">VLOOKUP( APIF_Import!$N108, Aop!$A$2:$P$456, 4, 0)</f>
        <v>140</v>
      </c>
      <c r="D108" s="230" t="str">
        <f ca="1">IF( ISNA( VLOOKUP( APIF_Import!$O108 &amp; APIF_Import!$D$1,Podesavanja!$AA$3:$AD$28, 4, 0)), "", SUBSTITUTE( VALUE( VLOOKUP( APIF_Import!$C108, INDIRECT( "Lookup_" &amp; APIF_Import!$O108), VLOOKUP( APIF_Import!$O108 &amp; APIF_Import!$D$1,Podesavanja!$AA$3:$AD$28, 4, 0), 0)), ".", ","))</f>
        <v>0</v>
      </c>
      <c r="E108" s="230">
        <f ca="1">IF( ISNA( VLOOKUP( APIF_Import!$O108 &amp; APIF_Import!$E$1,Podesavanja!$AA$3:$AD$28, 4, 0)), "", VLOOKUP( APIF_Import!$C108, INDIRECT( "Lookup_" &amp; APIF_Import!$O108), VLOOKUP( APIF_Import!$O108 &amp; APIF_Import!$E$1,Podesavanja!$AA$3:$AD$28, 4, 0), 0))</f>
        <v>0</v>
      </c>
      <c r="F108" s="230" t="str">
        <f ca="1">IF( ISNA( VLOOKUP( APIF_Import!$O108 &amp; APIF_Import!$F$1,Podesavanja!$AA$3:$AD$28, 4, 0)), "", VLOOKUP( APIF_Import!$C108, INDIRECT( "Lookup_" &amp; APIF_Import!$O108), VLOOKUP( APIF_Import!$O108 &amp; APIF_Import!$F$1,Podesavanja!$AA$3:$AD$28, 4, 0), 0))</f>
        <v/>
      </c>
      <c r="G108" s="230" t="str">
        <f ca="1">IF( ISNA( VLOOKUP( APIF_Import!$O108 &amp; APIF_Import!$G$1,Podesavanja!$AA$3:$AD$28, 4, 0)), "", VLOOKUP( APIF_Import!$C108, INDIRECT( "Lookup_" &amp; APIF_Import!$O108), VLOOKUP( APIF_Import!$O108 &amp; APIF_Import!$G$1,Podesavanja!$AA$3:$AD$28, 4, 0), 0))</f>
        <v/>
      </c>
      <c r="H108" s="230" t="str">
        <f ca="1">IF( ISNA( VLOOKUP( APIF_Import!$O108 &amp; APIF_Import!$H$1,Podesavanja!$AA$3:$AD$28, 4, 0)), "", VLOOKUP( APIF_Import!$C108, INDIRECT( "Lookup_" &amp; APIF_Import!$O108), VLOOKUP( APIF_Import!$O108 &amp; APIF_Import!$H$1,Podesavanja!$AA$3:$AD$28, 4, 0), 0))</f>
        <v/>
      </c>
      <c r="I108" s="230" t="str">
        <f ca="1">IF( ISNA( VLOOKUP( APIF_Import!$O108 &amp; APIF_Import!$I$1,Podesavanja!$AA$3:$AD$28, 4, 0)), "", VLOOKUP( APIF_Import!$C108, INDIRECT( "Lookup_" &amp; APIF_Import!$M108:$O108), VLOOKUP( APIF_Import!$O108 &amp; APIF_Import!$I$1,Podesavanja!$AA$3:$AD$28, 4, 0), 0))</f>
        <v/>
      </c>
      <c r="J108" s="230" t="str">
        <f ca="1">IF( ISNA( VLOOKUP( APIF_Import!$O108 &amp; APIF_Import!$J$1,Podesavanja!$AA$3:$AD$28, 4, 0)), "", VLOOKUP( APIF_Import!$C108, INDIRECT( "Lookup_" &amp; APIF_Import!$M108:$O108), VLOOKUP( APIF_Import!$O108 &amp; APIF_Import!$J$1,Podesavanja!$AA$3:$AD$28, 4, 0), 0))</f>
        <v/>
      </c>
      <c r="K108" s="230" t="str">
        <f ca="1">IF( ISNA( VLOOKUP( APIF_Import!$O108 &amp; APIF_Import!$K$1,Podesavanja!$AA$3:$AD$28, 4, 0)), "", VLOOKUP( APIF_Import!$C108, INDIRECT( "Lookup_" &amp; APIF_Import!$M108:$O108), VLOOKUP( APIF_Import!$O108 &amp; APIF_Import!$K$1,Podesavanja!$AA$3:$AD$28, 4, 0), 0))</f>
        <v/>
      </c>
      <c r="L108" s="230" t="str">
        <f ca="1">IF( ISNA( VLOOKUP( APIF_Import!$O108 &amp; APIF_Import!$L$1,Podesavanja!$AA$3:$AD$28, 4, 0)), "", VLOOKUP( APIF_Import!$C108, INDIRECT( "Lookup_" &amp; APIF_Import!$M108:$O108), VLOOKUP( APIF_Import!$O108 &amp; APIF_Import!$L$1,Podesavanja!$AA$3:$AD$28, 4, 0), 0))</f>
        <v/>
      </c>
      <c r="M108" s="230" t="str">
        <f ca="1">IF( ISNA( VLOOKUP( APIF_Import!$O108 &amp; APIF_Import!$M$1,Podesavanja!$AA$3:$AD$28, 4, 0)), "", VLOOKUP( APIF_Import!$C108, INDIRECT( "Lookup_" &amp; APIF_Import!$M108:$O108), VLOOKUP( APIF_Import!$O108 &amp; APIF_Import!$M$1,Podesavanja!$AA$3:$AD$28, 4, 0), 0))</f>
        <v/>
      </c>
      <c r="N108" s="8">
        <v>107</v>
      </c>
      <c r="O108" s="230" t="s">
        <v>2896</v>
      </c>
    </row>
    <row r="109" spans="2:15">
      <c r="B109" s="44">
        <f ca="1">VLOOKUP( APIF_Import!$O109, Podesavanja!$N$3:$Q$9, 4, 0)</f>
        <v>2</v>
      </c>
      <c r="C109" s="229">
        <f ca="1">VLOOKUP( APIF_Import!$N109, Aop!$A$2:$P$456, 4, 0)</f>
        <v>141</v>
      </c>
      <c r="D109" s="230" t="str">
        <f ca="1">IF( ISNA( VLOOKUP( APIF_Import!$O109 &amp; APIF_Import!$D$1,Podesavanja!$AA$3:$AD$28, 4, 0)), "", SUBSTITUTE( VALUE( VLOOKUP( APIF_Import!$C109, INDIRECT( "Lookup_" &amp; APIF_Import!$O109), VLOOKUP( APIF_Import!$O109 &amp; APIF_Import!$D$1,Podesavanja!$AA$3:$AD$28, 4, 0), 0)), ".", ","))</f>
        <v>0</v>
      </c>
      <c r="E109" s="230">
        <f ca="1">IF( ISNA( VLOOKUP( APIF_Import!$O109 &amp; APIF_Import!$E$1,Podesavanja!$AA$3:$AD$28, 4, 0)), "", VLOOKUP( APIF_Import!$C109, INDIRECT( "Lookup_" &amp; APIF_Import!$O109), VLOOKUP( APIF_Import!$O109 &amp; APIF_Import!$E$1,Podesavanja!$AA$3:$AD$28, 4, 0), 0))</f>
        <v>0</v>
      </c>
      <c r="F109" s="230" t="str">
        <f ca="1">IF( ISNA( VLOOKUP( APIF_Import!$O109 &amp; APIF_Import!$F$1,Podesavanja!$AA$3:$AD$28, 4, 0)), "", VLOOKUP( APIF_Import!$C109, INDIRECT( "Lookup_" &amp; APIF_Import!$O109), VLOOKUP( APIF_Import!$O109 &amp; APIF_Import!$F$1,Podesavanja!$AA$3:$AD$28, 4, 0), 0))</f>
        <v/>
      </c>
      <c r="G109" s="230" t="str">
        <f ca="1">IF( ISNA( VLOOKUP( APIF_Import!$O109 &amp; APIF_Import!$G$1,Podesavanja!$AA$3:$AD$28, 4, 0)), "", VLOOKUP( APIF_Import!$C109, INDIRECT( "Lookup_" &amp; APIF_Import!$O109), VLOOKUP( APIF_Import!$O109 &amp; APIF_Import!$G$1,Podesavanja!$AA$3:$AD$28, 4, 0), 0))</f>
        <v/>
      </c>
      <c r="H109" s="230" t="str">
        <f ca="1">IF( ISNA( VLOOKUP( APIF_Import!$O109 &amp; APIF_Import!$H$1,Podesavanja!$AA$3:$AD$28, 4, 0)), "", VLOOKUP( APIF_Import!$C109, INDIRECT( "Lookup_" &amp; APIF_Import!$O109), VLOOKUP( APIF_Import!$O109 &amp; APIF_Import!$H$1,Podesavanja!$AA$3:$AD$28, 4, 0), 0))</f>
        <v/>
      </c>
      <c r="I109" s="230" t="str">
        <f ca="1">IF( ISNA( VLOOKUP( APIF_Import!$O109 &amp; APIF_Import!$I$1,Podesavanja!$AA$3:$AD$28, 4, 0)), "", VLOOKUP( APIF_Import!$C109, INDIRECT( "Lookup_" &amp; APIF_Import!$M109:$O109), VLOOKUP( APIF_Import!$O109 &amp; APIF_Import!$I$1,Podesavanja!$AA$3:$AD$28, 4, 0), 0))</f>
        <v/>
      </c>
      <c r="J109" s="230" t="str">
        <f ca="1">IF( ISNA( VLOOKUP( APIF_Import!$O109 &amp; APIF_Import!$J$1,Podesavanja!$AA$3:$AD$28, 4, 0)), "", VLOOKUP( APIF_Import!$C109, INDIRECT( "Lookup_" &amp; APIF_Import!$M109:$O109), VLOOKUP( APIF_Import!$O109 &amp; APIF_Import!$J$1,Podesavanja!$AA$3:$AD$28, 4, 0), 0))</f>
        <v/>
      </c>
      <c r="K109" s="230" t="str">
        <f ca="1">IF( ISNA( VLOOKUP( APIF_Import!$O109 &amp; APIF_Import!$K$1,Podesavanja!$AA$3:$AD$28, 4, 0)), "", VLOOKUP( APIF_Import!$C109, INDIRECT( "Lookup_" &amp; APIF_Import!$M109:$O109), VLOOKUP( APIF_Import!$O109 &amp; APIF_Import!$K$1,Podesavanja!$AA$3:$AD$28, 4, 0), 0))</f>
        <v/>
      </c>
      <c r="L109" s="230" t="str">
        <f ca="1">IF( ISNA( VLOOKUP( APIF_Import!$O109 &amp; APIF_Import!$L$1,Podesavanja!$AA$3:$AD$28, 4, 0)), "", VLOOKUP( APIF_Import!$C109, INDIRECT( "Lookup_" &amp; APIF_Import!$M109:$O109), VLOOKUP( APIF_Import!$O109 &amp; APIF_Import!$L$1,Podesavanja!$AA$3:$AD$28, 4, 0), 0))</f>
        <v/>
      </c>
      <c r="M109" s="230" t="str">
        <f ca="1">IF( ISNA( VLOOKUP( APIF_Import!$O109 &amp; APIF_Import!$M$1,Podesavanja!$AA$3:$AD$28, 4, 0)), "", VLOOKUP( APIF_Import!$C109, INDIRECT( "Lookup_" &amp; APIF_Import!$M109:$O109), VLOOKUP( APIF_Import!$O109 &amp; APIF_Import!$M$1,Podesavanja!$AA$3:$AD$28, 4, 0), 0))</f>
        <v/>
      </c>
      <c r="N109" s="8">
        <v>108</v>
      </c>
      <c r="O109" s="230" t="s">
        <v>2896</v>
      </c>
    </row>
    <row r="110" spans="2:15">
      <c r="B110" s="44">
        <f ca="1">VLOOKUP( APIF_Import!$O110, Podesavanja!$N$3:$Q$9, 4, 0)</f>
        <v>2</v>
      </c>
      <c r="C110" s="229">
        <f ca="1">VLOOKUP( APIF_Import!$N110, Aop!$A$2:$P$456, 4, 0)</f>
        <v>142</v>
      </c>
      <c r="D110" s="230" t="str">
        <f ca="1">IF( ISNA( VLOOKUP( APIF_Import!$O110 &amp; APIF_Import!$D$1,Podesavanja!$AA$3:$AD$28, 4, 0)), "", SUBSTITUTE( VALUE( VLOOKUP( APIF_Import!$C110, INDIRECT( "Lookup_" &amp; APIF_Import!$O110), VLOOKUP( APIF_Import!$O110 &amp; APIF_Import!$D$1,Podesavanja!$AA$3:$AD$28, 4, 0), 0)), ".", ","))</f>
        <v>0</v>
      </c>
      <c r="E110" s="230">
        <f ca="1">IF( ISNA( VLOOKUP( APIF_Import!$O110 &amp; APIF_Import!$E$1,Podesavanja!$AA$3:$AD$28, 4, 0)), "", VLOOKUP( APIF_Import!$C110, INDIRECT( "Lookup_" &amp; APIF_Import!$O110), VLOOKUP( APIF_Import!$O110 &amp; APIF_Import!$E$1,Podesavanja!$AA$3:$AD$28, 4, 0), 0))</f>
        <v>0</v>
      </c>
      <c r="F110" s="230" t="str">
        <f ca="1">IF( ISNA( VLOOKUP( APIF_Import!$O110 &amp; APIF_Import!$F$1,Podesavanja!$AA$3:$AD$28, 4, 0)), "", VLOOKUP( APIF_Import!$C110, INDIRECT( "Lookup_" &amp; APIF_Import!$O110), VLOOKUP( APIF_Import!$O110 &amp; APIF_Import!$F$1,Podesavanja!$AA$3:$AD$28, 4, 0), 0))</f>
        <v/>
      </c>
      <c r="G110" s="230" t="str">
        <f ca="1">IF( ISNA( VLOOKUP( APIF_Import!$O110 &amp; APIF_Import!$G$1,Podesavanja!$AA$3:$AD$28, 4, 0)), "", VLOOKUP( APIF_Import!$C110, INDIRECT( "Lookup_" &amp; APIF_Import!$O110), VLOOKUP( APIF_Import!$O110 &amp; APIF_Import!$G$1,Podesavanja!$AA$3:$AD$28, 4, 0), 0))</f>
        <v/>
      </c>
      <c r="H110" s="230" t="str">
        <f ca="1">IF( ISNA( VLOOKUP( APIF_Import!$O110 &amp; APIF_Import!$H$1,Podesavanja!$AA$3:$AD$28, 4, 0)), "", VLOOKUP( APIF_Import!$C110, INDIRECT( "Lookup_" &amp; APIF_Import!$O110), VLOOKUP( APIF_Import!$O110 &amp; APIF_Import!$H$1,Podesavanja!$AA$3:$AD$28, 4, 0), 0))</f>
        <v/>
      </c>
      <c r="I110" s="230" t="str">
        <f ca="1">IF( ISNA( VLOOKUP( APIF_Import!$O110 &amp; APIF_Import!$I$1,Podesavanja!$AA$3:$AD$28, 4, 0)), "", VLOOKUP( APIF_Import!$C110, INDIRECT( "Lookup_" &amp; APIF_Import!$M110:$O110), VLOOKUP( APIF_Import!$O110 &amp; APIF_Import!$I$1,Podesavanja!$AA$3:$AD$28, 4, 0), 0))</f>
        <v/>
      </c>
      <c r="J110" s="230" t="str">
        <f ca="1">IF( ISNA( VLOOKUP( APIF_Import!$O110 &amp; APIF_Import!$J$1,Podesavanja!$AA$3:$AD$28, 4, 0)), "", VLOOKUP( APIF_Import!$C110, INDIRECT( "Lookup_" &amp; APIF_Import!$M110:$O110), VLOOKUP( APIF_Import!$O110 &amp; APIF_Import!$J$1,Podesavanja!$AA$3:$AD$28, 4, 0), 0))</f>
        <v/>
      </c>
      <c r="K110" s="230" t="str">
        <f ca="1">IF( ISNA( VLOOKUP( APIF_Import!$O110 &amp; APIF_Import!$K$1,Podesavanja!$AA$3:$AD$28, 4, 0)), "", VLOOKUP( APIF_Import!$C110, INDIRECT( "Lookup_" &amp; APIF_Import!$M110:$O110), VLOOKUP( APIF_Import!$O110 &amp; APIF_Import!$K$1,Podesavanja!$AA$3:$AD$28, 4, 0), 0))</f>
        <v/>
      </c>
      <c r="L110" s="230" t="str">
        <f ca="1">IF( ISNA( VLOOKUP( APIF_Import!$O110 &amp; APIF_Import!$L$1,Podesavanja!$AA$3:$AD$28, 4, 0)), "", VLOOKUP( APIF_Import!$C110, INDIRECT( "Lookup_" &amp; APIF_Import!$M110:$O110), VLOOKUP( APIF_Import!$O110 &amp; APIF_Import!$L$1,Podesavanja!$AA$3:$AD$28, 4, 0), 0))</f>
        <v/>
      </c>
      <c r="M110" s="230" t="str">
        <f ca="1">IF( ISNA( VLOOKUP( APIF_Import!$O110 &amp; APIF_Import!$M$1,Podesavanja!$AA$3:$AD$28, 4, 0)), "", VLOOKUP( APIF_Import!$C110, INDIRECT( "Lookup_" &amp; APIF_Import!$M110:$O110), VLOOKUP( APIF_Import!$O110 &amp; APIF_Import!$M$1,Podesavanja!$AA$3:$AD$28, 4, 0), 0))</f>
        <v/>
      </c>
      <c r="N110" s="8">
        <v>109</v>
      </c>
      <c r="O110" s="230" t="s">
        <v>2896</v>
      </c>
    </row>
    <row r="111" spans="2:15">
      <c r="B111" s="44">
        <f ca="1">VLOOKUP( APIF_Import!$O111, Podesavanja!$N$3:$Q$9, 4, 0)</f>
        <v>2</v>
      </c>
      <c r="C111" s="229">
        <f ca="1">VLOOKUP( APIF_Import!$N111, Aop!$A$2:$P$456, 4, 0)</f>
        <v>143</v>
      </c>
      <c r="D111" s="230" t="str">
        <f ca="1">IF( ISNA( VLOOKUP( APIF_Import!$O111 &amp; APIF_Import!$D$1,Podesavanja!$AA$3:$AD$28, 4, 0)), "", SUBSTITUTE( VALUE( VLOOKUP( APIF_Import!$C111, INDIRECT( "Lookup_" &amp; APIF_Import!$O111), VLOOKUP( APIF_Import!$O111 &amp; APIF_Import!$D$1,Podesavanja!$AA$3:$AD$28, 4, 0), 0)), ".", ","))</f>
        <v>0</v>
      </c>
      <c r="E111" s="230">
        <f ca="1">IF( ISNA( VLOOKUP( APIF_Import!$O111 &amp; APIF_Import!$E$1,Podesavanja!$AA$3:$AD$28, 4, 0)), "", VLOOKUP( APIF_Import!$C111, INDIRECT( "Lookup_" &amp; APIF_Import!$O111), VLOOKUP( APIF_Import!$O111 &amp; APIF_Import!$E$1,Podesavanja!$AA$3:$AD$28, 4, 0), 0))</f>
        <v>0</v>
      </c>
      <c r="F111" s="230" t="str">
        <f ca="1">IF( ISNA( VLOOKUP( APIF_Import!$O111 &amp; APIF_Import!$F$1,Podesavanja!$AA$3:$AD$28, 4, 0)), "", VLOOKUP( APIF_Import!$C111, INDIRECT( "Lookup_" &amp; APIF_Import!$O111), VLOOKUP( APIF_Import!$O111 &amp; APIF_Import!$F$1,Podesavanja!$AA$3:$AD$28, 4, 0), 0))</f>
        <v/>
      </c>
      <c r="G111" s="230" t="str">
        <f ca="1">IF( ISNA( VLOOKUP( APIF_Import!$O111 &amp; APIF_Import!$G$1,Podesavanja!$AA$3:$AD$28, 4, 0)), "", VLOOKUP( APIF_Import!$C111, INDIRECT( "Lookup_" &amp; APIF_Import!$O111), VLOOKUP( APIF_Import!$O111 &amp; APIF_Import!$G$1,Podesavanja!$AA$3:$AD$28, 4, 0), 0))</f>
        <v/>
      </c>
      <c r="H111" s="230" t="str">
        <f ca="1">IF( ISNA( VLOOKUP( APIF_Import!$O111 &amp; APIF_Import!$H$1,Podesavanja!$AA$3:$AD$28, 4, 0)), "", VLOOKUP( APIF_Import!$C111, INDIRECT( "Lookup_" &amp; APIF_Import!$O111), VLOOKUP( APIF_Import!$O111 &amp; APIF_Import!$H$1,Podesavanja!$AA$3:$AD$28, 4, 0), 0))</f>
        <v/>
      </c>
      <c r="I111" s="230" t="str">
        <f ca="1">IF( ISNA( VLOOKUP( APIF_Import!$O111 &amp; APIF_Import!$I$1,Podesavanja!$AA$3:$AD$28, 4, 0)), "", VLOOKUP( APIF_Import!$C111, INDIRECT( "Lookup_" &amp; APIF_Import!$M111:$O111), VLOOKUP( APIF_Import!$O111 &amp; APIF_Import!$I$1,Podesavanja!$AA$3:$AD$28, 4, 0), 0))</f>
        <v/>
      </c>
      <c r="J111" s="230" t="str">
        <f ca="1">IF( ISNA( VLOOKUP( APIF_Import!$O111 &amp; APIF_Import!$J$1,Podesavanja!$AA$3:$AD$28, 4, 0)), "", VLOOKUP( APIF_Import!$C111, INDIRECT( "Lookup_" &amp; APIF_Import!$M111:$O111), VLOOKUP( APIF_Import!$O111 &amp; APIF_Import!$J$1,Podesavanja!$AA$3:$AD$28, 4, 0), 0))</f>
        <v/>
      </c>
      <c r="K111" s="230" t="str">
        <f ca="1">IF( ISNA( VLOOKUP( APIF_Import!$O111 &amp; APIF_Import!$K$1,Podesavanja!$AA$3:$AD$28, 4, 0)), "", VLOOKUP( APIF_Import!$C111, INDIRECT( "Lookup_" &amp; APIF_Import!$M111:$O111), VLOOKUP( APIF_Import!$O111 &amp; APIF_Import!$K$1,Podesavanja!$AA$3:$AD$28, 4, 0), 0))</f>
        <v/>
      </c>
      <c r="L111" s="230" t="str">
        <f ca="1">IF( ISNA( VLOOKUP( APIF_Import!$O111 &amp; APIF_Import!$L$1,Podesavanja!$AA$3:$AD$28, 4, 0)), "", VLOOKUP( APIF_Import!$C111, INDIRECT( "Lookup_" &amp; APIF_Import!$M111:$O111), VLOOKUP( APIF_Import!$O111 &amp; APIF_Import!$L$1,Podesavanja!$AA$3:$AD$28, 4, 0), 0))</f>
        <v/>
      </c>
      <c r="M111" s="230" t="str">
        <f ca="1">IF( ISNA( VLOOKUP( APIF_Import!$O111 &amp; APIF_Import!$M$1,Podesavanja!$AA$3:$AD$28, 4, 0)), "", VLOOKUP( APIF_Import!$C111, INDIRECT( "Lookup_" &amp; APIF_Import!$M111:$O111), VLOOKUP( APIF_Import!$O111 &amp; APIF_Import!$M$1,Podesavanja!$AA$3:$AD$28, 4, 0), 0))</f>
        <v/>
      </c>
      <c r="N111" s="8">
        <v>110</v>
      </c>
      <c r="O111" s="230" t="s">
        <v>2896</v>
      </c>
    </row>
    <row r="112" spans="2:15">
      <c r="B112" s="44">
        <f ca="1">VLOOKUP( APIF_Import!$O112, Podesavanja!$N$3:$Q$9, 4, 0)</f>
        <v>2</v>
      </c>
      <c r="C112" s="229">
        <f ca="1">VLOOKUP( APIF_Import!$N112, Aop!$A$2:$P$456, 4, 0)</f>
        <v>144</v>
      </c>
      <c r="D112" s="230" t="str">
        <f ca="1">IF( ISNA( VLOOKUP( APIF_Import!$O112 &amp; APIF_Import!$D$1,Podesavanja!$AA$3:$AD$28, 4, 0)), "", SUBSTITUTE( VALUE( VLOOKUP( APIF_Import!$C112, INDIRECT( "Lookup_" &amp; APIF_Import!$O112), VLOOKUP( APIF_Import!$O112 &amp; APIF_Import!$D$1,Podesavanja!$AA$3:$AD$28, 4, 0), 0)), ".", ","))</f>
        <v>0</v>
      </c>
      <c r="E112" s="230">
        <f ca="1">IF( ISNA( VLOOKUP( APIF_Import!$O112 &amp; APIF_Import!$E$1,Podesavanja!$AA$3:$AD$28, 4, 0)), "", VLOOKUP( APIF_Import!$C112, INDIRECT( "Lookup_" &amp; APIF_Import!$O112), VLOOKUP( APIF_Import!$O112 &amp; APIF_Import!$E$1,Podesavanja!$AA$3:$AD$28, 4, 0), 0))</f>
        <v>0</v>
      </c>
      <c r="F112" s="230" t="str">
        <f ca="1">IF( ISNA( VLOOKUP( APIF_Import!$O112 &amp; APIF_Import!$F$1,Podesavanja!$AA$3:$AD$28, 4, 0)), "", VLOOKUP( APIF_Import!$C112, INDIRECT( "Lookup_" &amp; APIF_Import!$O112), VLOOKUP( APIF_Import!$O112 &amp; APIF_Import!$F$1,Podesavanja!$AA$3:$AD$28, 4, 0), 0))</f>
        <v/>
      </c>
      <c r="G112" s="230" t="str">
        <f ca="1">IF( ISNA( VLOOKUP( APIF_Import!$O112 &amp; APIF_Import!$G$1,Podesavanja!$AA$3:$AD$28, 4, 0)), "", VLOOKUP( APIF_Import!$C112, INDIRECT( "Lookup_" &amp; APIF_Import!$O112), VLOOKUP( APIF_Import!$O112 &amp; APIF_Import!$G$1,Podesavanja!$AA$3:$AD$28, 4, 0), 0))</f>
        <v/>
      </c>
      <c r="H112" s="230" t="str">
        <f ca="1">IF( ISNA( VLOOKUP( APIF_Import!$O112 &amp; APIF_Import!$H$1,Podesavanja!$AA$3:$AD$28, 4, 0)), "", VLOOKUP( APIF_Import!$C112, INDIRECT( "Lookup_" &amp; APIF_Import!$O112), VLOOKUP( APIF_Import!$O112 &amp; APIF_Import!$H$1,Podesavanja!$AA$3:$AD$28, 4, 0), 0))</f>
        <v/>
      </c>
      <c r="I112" s="230" t="str">
        <f ca="1">IF( ISNA( VLOOKUP( APIF_Import!$O112 &amp; APIF_Import!$I$1,Podesavanja!$AA$3:$AD$28, 4, 0)), "", VLOOKUP( APIF_Import!$C112, INDIRECT( "Lookup_" &amp; APIF_Import!$M112:$O112), VLOOKUP( APIF_Import!$O112 &amp; APIF_Import!$I$1,Podesavanja!$AA$3:$AD$28, 4, 0), 0))</f>
        <v/>
      </c>
      <c r="J112" s="230" t="str">
        <f ca="1">IF( ISNA( VLOOKUP( APIF_Import!$O112 &amp; APIF_Import!$J$1,Podesavanja!$AA$3:$AD$28, 4, 0)), "", VLOOKUP( APIF_Import!$C112, INDIRECT( "Lookup_" &amp; APIF_Import!$M112:$O112), VLOOKUP( APIF_Import!$O112 &amp; APIF_Import!$J$1,Podesavanja!$AA$3:$AD$28, 4, 0), 0))</f>
        <v/>
      </c>
      <c r="K112" s="230" t="str">
        <f ca="1">IF( ISNA( VLOOKUP( APIF_Import!$O112 &amp; APIF_Import!$K$1,Podesavanja!$AA$3:$AD$28, 4, 0)), "", VLOOKUP( APIF_Import!$C112, INDIRECT( "Lookup_" &amp; APIF_Import!$M112:$O112), VLOOKUP( APIF_Import!$O112 &amp; APIF_Import!$K$1,Podesavanja!$AA$3:$AD$28, 4, 0), 0))</f>
        <v/>
      </c>
      <c r="L112" s="230" t="str">
        <f ca="1">IF( ISNA( VLOOKUP( APIF_Import!$O112 &amp; APIF_Import!$L$1,Podesavanja!$AA$3:$AD$28, 4, 0)), "", VLOOKUP( APIF_Import!$C112, INDIRECT( "Lookup_" &amp; APIF_Import!$M112:$O112), VLOOKUP( APIF_Import!$O112 &amp; APIF_Import!$L$1,Podesavanja!$AA$3:$AD$28, 4, 0), 0))</f>
        <v/>
      </c>
      <c r="M112" s="230" t="str">
        <f ca="1">IF( ISNA( VLOOKUP( APIF_Import!$O112 &amp; APIF_Import!$M$1,Podesavanja!$AA$3:$AD$28, 4, 0)), "", VLOOKUP( APIF_Import!$C112, INDIRECT( "Lookup_" &amp; APIF_Import!$M112:$O112), VLOOKUP( APIF_Import!$O112 &amp; APIF_Import!$M$1,Podesavanja!$AA$3:$AD$28, 4, 0), 0))</f>
        <v/>
      </c>
      <c r="N112" s="8">
        <v>111</v>
      </c>
      <c r="O112" s="230" t="s">
        <v>2896</v>
      </c>
    </row>
    <row r="113" spans="2:15">
      <c r="B113" s="44">
        <f ca="1">VLOOKUP( APIF_Import!$O113, Podesavanja!$N$3:$Q$9, 4, 0)</f>
        <v>2</v>
      </c>
      <c r="C113" s="229">
        <f ca="1">VLOOKUP( APIF_Import!$N113, Aop!$A$2:$P$456, 4, 0)</f>
        <v>145</v>
      </c>
      <c r="D113" s="230" t="str">
        <f ca="1">IF( ISNA( VLOOKUP( APIF_Import!$O113 &amp; APIF_Import!$D$1,Podesavanja!$AA$3:$AD$28, 4, 0)), "", SUBSTITUTE( VALUE( VLOOKUP( APIF_Import!$C113, INDIRECT( "Lookup_" &amp; APIF_Import!$O113), VLOOKUP( APIF_Import!$O113 &amp; APIF_Import!$D$1,Podesavanja!$AA$3:$AD$28, 4, 0), 0)), ".", ","))</f>
        <v>0</v>
      </c>
      <c r="E113" s="230">
        <f ca="1">IF( ISNA( VLOOKUP( APIF_Import!$O113 &amp; APIF_Import!$E$1,Podesavanja!$AA$3:$AD$28, 4, 0)), "", VLOOKUP( APIF_Import!$C113, INDIRECT( "Lookup_" &amp; APIF_Import!$O113), VLOOKUP( APIF_Import!$O113 &amp; APIF_Import!$E$1,Podesavanja!$AA$3:$AD$28, 4, 0), 0))</f>
        <v>0</v>
      </c>
      <c r="F113" s="230" t="str">
        <f ca="1">IF( ISNA( VLOOKUP( APIF_Import!$O113 &amp; APIF_Import!$F$1,Podesavanja!$AA$3:$AD$28, 4, 0)), "", VLOOKUP( APIF_Import!$C113, INDIRECT( "Lookup_" &amp; APIF_Import!$O113), VLOOKUP( APIF_Import!$O113 &amp; APIF_Import!$F$1,Podesavanja!$AA$3:$AD$28, 4, 0), 0))</f>
        <v/>
      </c>
      <c r="G113" s="230" t="str">
        <f ca="1">IF( ISNA( VLOOKUP( APIF_Import!$O113 &amp; APIF_Import!$G$1,Podesavanja!$AA$3:$AD$28, 4, 0)), "", VLOOKUP( APIF_Import!$C113, INDIRECT( "Lookup_" &amp; APIF_Import!$O113), VLOOKUP( APIF_Import!$O113 &amp; APIF_Import!$G$1,Podesavanja!$AA$3:$AD$28, 4, 0), 0))</f>
        <v/>
      </c>
      <c r="H113" s="230" t="str">
        <f ca="1">IF( ISNA( VLOOKUP( APIF_Import!$O113 &amp; APIF_Import!$H$1,Podesavanja!$AA$3:$AD$28, 4, 0)), "", VLOOKUP( APIF_Import!$C113, INDIRECT( "Lookup_" &amp; APIF_Import!$O113), VLOOKUP( APIF_Import!$O113 &amp; APIF_Import!$H$1,Podesavanja!$AA$3:$AD$28, 4, 0), 0))</f>
        <v/>
      </c>
      <c r="I113" s="230" t="str">
        <f ca="1">IF( ISNA( VLOOKUP( APIF_Import!$O113 &amp; APIF_Import!$I$1,Podesavanja!$AA$3:$AD$28, 4, 0)), "", VLOOKUP( APIF_Import!$C113, INDIRECT( "Lookup_" &amp; APIF_Import!$M113:$O113), VLOOKUP( APIF_Import!$O113 &amp; APIF_Import!$I$1,Podesavanja!$AA$3:$AD$28, 4, 0), 0))</f>
        <v/>
      </c>
      <c r="J113" s="230" t="str">
        <f ca="1">IF( ISNA( VLOOKUP( APIF_Import!$O113 &amp; APIF_Import!$J$1,Podesavanja!$AA$3:$AD$28, 4, 0)), "", VLOOKUP( APIF_Import!$C113, INDIRECT( "Lookup_" &amp; APIF_Import!$M113:$O113), VLOOKUP( APIF_Import!$O113 &amp; APIF_Import!$J$1,Podesavanja!$AA$3:$AD$28, 4, 0), 0))</f>
        <v/>
      </c>
      <c r="K113" s="230" t="str">
        <f ca="1">IF( ISNA( VLOOKUP( APIF_Import!$O113 &amp; APIF_Import!$K$1,Podesavanja!$AA$3:$AD$28, 4, 0)), "", VLOOKUP( APIF_Import!$C113, INDIRECT( "Lookup_" &amp; APIF_Import!$M113:$O113), VLOOKUP( APIF_Import!$O113 &amp; APIF_Import!$K$1,Podesavanja!$AA$3:$AD$28, 4, 0), 0))</f>
        <v/>
      </c>
      <c r="L113" s="230" t="str">
        <f ca="1">IF( ISNA( VLOOKUP( APIF_Import!$O113 &amp; APIF_Import!$L$1,Podesavanja!$AA$3:$AD$28, 4, 0)), "", VLOOKUP( APIF_Import!$C113, INDIRECT( "Lookup_" &amp; APIF_Import!$M113:$O113), VLOOKUP( APIF_Import!$O113 &amp; APIF_Import!$L$1,Podesavanja!$AA$3:$AD$28, 4, 0), 0))</f>
        <v/>
      </c>
      <c r="M113" s="230" t="str">
        <f ca="1">IF( ISNA( VLOOKUP( APIF_Import!$O113 &amp; APIF_Import!$M$1,Podesavanja!$AA$3:$AD$28, 4, 0)), "", VLOOKUP( APIF_Import!$C113, INDIRECT( "Lookup_" &amp; APIF_Import!$M113:$O113), VLOOKUP( APIF_Import!$O113 &amp; APIF_Import!$M$1,Podesavanja!$AA$3:$AD$28, 4, 0), 0))</f>
        <v/>
      </c>
      <c r="N113" s="8">
        <v>112</v>
      </c>
      <c r="O113" s="230" t="s">
        <v>2896</v>
      </c>
    </row>
    <row r="114" spans="2:15">
      <c r="B114" s="44">
        <f ca="1">VLOOKUP( APIF_Import!$O114, Podesavanja!$N$3:$Q$9, 4, 0)</f>
        <v>2</v>
      </c>
      <c r="C114" s="229">
        <f ca="1">VLOOKUP( APIF_Import!$N114, Aop!$A$2:$P$456, 4, 0)</f>
        <v>146</v>
      </c>
      <c r="D114" s="230" t="str">
        <f ca="1">IF( ISNA( VLOOKUP( APIF_Import!$O114 &amp; APIF_Import!$D$1,Podesavanja!$AA$3:$AD$28, 4, 0)), "", SUBSTITUTE( VALUE( VLOOKUP( APIF_Import!$C114, INDIRECT( "Lookup_" &amp; APIF_Import!$O114), VLOOKUP( APIF_Import!$O114 &amp; APIF_Import!$D$1,Podesavanja!$AA$3:$AD$28, 4, 0), 0)), ".", ","))</f>
        <v>0</v>
      </c>
      <c r="E114" s="230">
        <f ca="1">IF( ISNA( VLOOKUP( APIF_Import!$O114 &amp; APIF_Import!$E$1,Podesavanja!$AA$3:$AD$28, 4, 0)), "", VLOOKUP( APIF_Import!$C114, INDIRECT( "Lookup_" &amp; APIF_Import!$O114), VLOOKUP( APIF_Import!$O114 &amp; APIF_Import!$E$1,Podesavanja!$AA$3:$AD$28, 4, 0), 0))</f>
        <v>0</v>
      </c>
      <c r="F114" s="230" t="str">
        <f ca="1">IF( ISNA( VLOOKUP( APIF_Import!$O114 &amp; APIF_Import!$F$1,Podesavanja!$AA$3:$AD$28, 4, 0)), "", VLOOKUP( APIF_Import!$C114, INDIRECT( "Lookup_" &amp; APIF_Import!$O114), VLOOKUP( APIF_Import!$O114 &amp; APIF_Import!$F$1,Podesavanja!$AA$3:$AD$28, 4, 0), 0))</f>
        <v/>
      </c>
      <c r="G114" s="230" t="str">
        <f ca="1">IF( ISNA( VLOOKUP( APIF_Import!$O114 &amp; APIF_Import!$G$1,Podesavanja!$AA$3:$AD$28, 4, 0)), "", VLOOKUP( APIF_Import!$C114, INDIRECT( "Lookup_" &amp; APIF_Import!$O114), VLOOKUP( APIF_Import!$O114 &amp; APIF_Import!$G$1,Podesavanja!$AA$3:$AD$28, 4, 0), 0))</f>
        <v/>
      </c>
      <c r="H114" s="230" t="str">
        <f ca="1">IF( ISNA( VLOOKUP( APIF_Import!$O114 &amp; APIF_Import!$H$1,Podesavanja!$AA$3:$AD$28, 4, 0)), "", VLOOKUP( APIF_Import!$C114, INDIRECT( "Lookup_" &amp; APIF_Import!$O114), VLOOKUP( APIF_Import!$O114 &amp; APIF_Import!$H$1,Podesavanja!$AA$3:$AD$28, 4, 0), 0))</f>
        <v/>
      </c>
      <c r="I114" s="230" t="str">
        <f ca="1">IF( ISNA( VLOOKUP( APIF_Import!$O114 &amp; APIF_Import!$I$1,Podesavanja!$AA$3:$AD$28, 4, 0)), "", VLOOKUP( APIF_Import!$C114, INDIRECT( "Lookup_" &amp; APIF_Import!$M114:$O114), VLOOKUP( APIF_Import!$O114 &amp; APIF_Import!$I$1,Podesavanja!$AA$3:$AD$28, 4, 0), 0))</f>
        <v/>
      </c>
      <c r="J114" s="230" t="str">
        <f ca="1">IF( ISNA( VLOOKUP( APIF_Import!$O114 &amp; APIF_Import!$J$1,Podesavanja!$AA$3:$AD$28, 4, 0)), "", VLOOKUP( APIF_Import!$C114, INDIRECT( "Lookup_" &amp; APIF_Import!$M114:$O114), VLOOKUP( APIF_Import!$O114 &amp; APIF_Import!$J$1,Podesavanja!$AA$3:$AD$28, 4, 0), 0))</f>
        <v/>
      </c>
      <c r="K114" s="230" t="str">
        <f ca="1">IF( ISNA( VLOOKUP( APIF_Import!$O114 &amp; APIF_Import!$K$1,Podesavanja!$AA$3:$AD$28, 4, 0)), "", VLOOKUP( APIF_Import!$C114, INDIRECT( "Lookup_" &amp; APIF_Import!$M114:$O114), VLOOKUP( APIF_Import!$O114 &amp; APIF_Import!$K$1,Podesavanja!$AA$3:$AD$28, 4, 0), 0))</f>
        <v/>
      </c>
      <c r="L114" s="230" t="str">
        <f ca="1">IF( ISNA( VLOOKUP( APIF_Import!$O114 &amp; APIF_Import!$L$1,Podesavanja!$AA$3:$AD$28, 4, 0)), "", VLOOKUP( APIF_Import!$C114, INDIRECT( "Lookup_" &amp; APIF_Import!$M114:$O114), VLOOKUP( APIF_Import!$O114 &amp; APIF_Import!$L$1,Podesavanja!$AA$3:$AD$28, 4, 0), 0))</f>
        <v/>
      </c>
      <c r="M114" s="230" t="str">
        <f ca="1">IF( ISNA( VLOOKUP( APIF_Import!$O114 &amp; APIF_Import!$M$1,Podesavanja!$AA$3:$AD$28, 4, 0)), "", VLOOKUP( APIF_Import!$C114, INDIRECT( "Lookup_" &amp; APIF_Import!$M114:$O114), VLOOKUP( APIF_Import!$O114 &amp; APIF_Import!$M$1,Podesavanja!$AA$3:$AD$28, 4, 0), 0))</f>
        <v/>
      </c>
      <c r="N114" s="8">
        <v>113</v>
      </c>
      <c r="O114" s="230" t="s">
        <v>2896</v>
      </c>
    </row>
    <row r="115" spans="2:15">
      <c r="B115" s="44">
        <f ca="1">VLOOKUP( APIF_Import!$O115, Podesavanja!$N$3:$Q$9, 4, 0)</f>
        <v>2</v>
      </c>
      <c r="C115" s="229">
        <f ca="1">VLOOKUP( APIF_Import!$N115, Aop!$A$2:$P$456, 4, 0)</f>
        <v>147</v>
      </c>
      <c r="D115" s="230" t="str">
        <f ca="1">IF( ISNA( VLOOKUP( APIF_Import!$O115 &amp; APIF_Import!$D$1,Podesavanja!$AA$3:$AD$28, 4, 0)), "", SUBSTITUTE( VALUE( VLOOKUP( APIF_Import!$C115, INDIRECT( "Lookup_" &amp; APIF_Import!$O115), VLOOKUP( APIF_Import!$O115 &amp; APIF_Import!$D$1,Podesavanja!$AA$3:$AD$28, 4, 0), 0)), ".", ","))</f>
        <v>786101</v>
      </c>
      <c r="E115" s="230">
        <f ca="1">IF( ISNA( VLOOKUP( APIF_Import!$O115 &amp; APIF_Import!$E$1,Podesavanja!$AA$3:$AD$28, 4, 0)), "", VLOOKUP( APIF_Import!$C115, INDIRECT( "Lookup_" &amp; APIF_Import!$O115), VLOOKUP( APIF_Import!$O115 &amp; APIF_Import!$E$1,Podesavanja!$AA$3:$AD$28, 4, 0), 0))</f>
        <v>285391</v>
      </c>
      <c r="F115" s="230" t="str">
        <f ca="1">IF( ISNA( VLOOKUP( APIF_Import!$O115 &amp; APIF_Import!$F$1,Podesavanja!$AA$3:$AD$28, 4, 0)), "", VLOOKUP( APIF_Import!$C115, INDIRECT( "Lookup_" &amp; APIF_Import!$O115), VLOOKUP( APIF_Import!$O115 &amp; APIF_Import!$F$1,Podesavanja!$AA$3:$AD$28, 4, 0), 0))</f>
        <v/>
      </c>
      <c r="G115" s="230" t="str">
        <f ca="1">IF( ISNA( VLOOKUP( APIF_Import!$O115 &amp; APIF_Import!$G$1,Podesavanja!$AA$3:$AD$28, 4, 0)), "", VLOOKUP( APIF_Import!$C115, INDIRECT( "Lookup_" &amp; APIF_Import!$O115), VLOOKUP( APIF_Import!$O115 &amp; APIF_Import!$G$1,Podesavanja!$AA$3:$AD$28, 4, 0), 0))</f>
        <v/>
      </c>
      <c r="H115" s="230" t="str">
        <f ca="1">IF( ISNA( VLOOKUP( APIF_Import!$O115 &amp; APIF_Import!$H$1,Podesavanja!$AA$3:$AD$28, 4, 0)), "", VLOOKUP( APIF_Import!$C115, INDIRECT( "Lookup_" &amp; APIF_Import!$O115), VLOOKUP( APIF_Import!$O115 &amp; APIF_Import!$H$1,Podesavanja!$AA$3:$AD$28, 4, 0), 0))</f>
        <v/>
      </c>
      <c r="I115" s="230" t="str">
        <f ca="1">IF( ISNA( VLOOKUP( APIF_Import!$O115 &amp; APIF_Import!$I$1,Podesavanja!$AA$3:$AD$28, 4, 0)), "", VLOOKUP( APIF_Import!$C115, INDIRECT( "Lookup_" &amp; APIF_Import!$M115:$O115), VLOOKUP( APIF_Import!$O115 &amp; APIF_Import!$I$1,Podesavanja!$AA$3:$AD$28, 4, 0), 0))</f>
        <v/>
      </c>
      <c r="J115" s="230" t="str">
        <f ca="1">IF( ISNA( VLOOKUP( APIF_Import!$O115 &amp; APIF_Import!$J$1,Podesavanja!$AA$3:$AD$28, 4, 0)), "", VLOOKUP( APIF_Import!$C115, INDIRECT( "Lookup_" &amp; APIF_Import!$M115:$O115), VLOOKUP( APIF_Import!$O115 &amp; APIF_Import!$J$1,Podesavanja!$AA$3:$AD$28, 4, 0), 0))</f>
        <v/>
      </c>
      <c r="K115" s="230" t="str">
        <f ca="1">IF( ISNA( VLOOKUP( APIF_Import!$O115 &amp; APIF_Import!$K$1,Podesavanja!$AA$3:$AD$28, 4, 0)), "", VLOOKUP( APIF_Import!$C115, INDIRECT( "Lookup_" &amp; APIF_Import!$M115:$O115), VLOOKUP( APIF_Import!$O115 &amp; APIF_Import!$K$1,Podesavanja!$AA$3:$AD$28, 4, 0), 0))</f>
        <v/>
      </c>
      <c r="L115" s="230" t="str">
        <f ca="1">IF( ISNA( VLOOKUP( APIF_Import!$O115 &amp; APIF_Import!$L$1,Podesavanja!$AA$3:$AD$28, 4, 0)), "", VLOOKUP( APIF_Import!$C115, INDIRECT( "Lookup_" &amp; APIF_Import!$M115:$O115), VLOOKUP( APIF_Import!$O115 &amp; APIF_Import!$L$1,Podesavanja!$AA$3:$AD$28, 4, 0), 0))</f>
        <v/>
      </c>
      <c r="M115" s="230" t="str">
        <f ca="1">IF( ISNA( VLOOKUP( APIF_Import!$O115 &amp; APIF_Import!$M$1,Podesavanja!$AA$3:$AD$28, 4, 0)), "", VLOOKUP( APIF_Import!$C115, INDIRECT( "Lookup_" &amp; APIF_Import!$M115:$O115), VLOOKUP( APIF_Import!$O115 &amp; APIF_Import!$M$1,Podesavanja!$AA$3:$AD$28, 4, 0), 0))</f>
        <v/>
      </c>
      <c r="N115" s="8">
        <v>114</v>
      </c>
      <c r="O115" s="230" t="s">
        <v>2896</v>
      </c>
    </row>
    <row r="116" spans="2:15">
      <c r="B116" s="44">
        <f ca="1">VLOOKUP( APIF_Import!$O116, Podesavanja!$N$3:$Q$9, 4, 0)</f>
        <v>2</v>
      </c>
      <c r="C116" s="229">
        <f ca="1">VLOOKUP( APIF_Import!$N116, Aop!$A$2:$P$456, 4, 0)</f>
        <v>148</v>
      </c>
      <c r="D116" s="230" t="str">
        <f ca="1">IF( ISNA( VLOOKUP( APIF_Import!$O116 &amp; APIF_Import!$D$1,Podesavanja!$AA$3:$AD$28, 4, 0)), "", SUBSTITUTE( VALUE( VLOOKUP( APIF_Import!$C116, INDIRECT( "Lookup_" &amp; APIF_Import!$O116), VLOOKUP( APIF_Import!$O116 &amp; APIF_Import!$D$1,Podesavanja!$AA$3:$AD$28, 4, 0), 0)), ".", ","))</f>
        <v>0</v>
      </c>
      <c r="E116" s="230">
        <f ca="1">IF( ISNA( VLOOKUP( APIF_Import!$O116 &amp; APIF_Import!$E$1,Podesavanja!$AA$3:$AD$28, 4, 0)), "", VLOOKUP( APIF_Import!$C116, INDIRECT( "Lookup_" &amp; APIF_Import!$O116), VLOOKUP( APIF_Import!$O116 &amp; APIF_Import!$E$1,Podesavanja!$AA$3:$AD$28, 4, 0), 0))</f>
        <v>0</v>
      </c>
      <c r="F116" s="230" t="str">
        <f ca="1">IF( ISNA( VLOOKUP( APIF_Import!$O116 &amp; APIF_Import!$F$1,Podesavanja!$AA$3:$AD$28, 4, 0)), "", VLOOKUP( APIF_Import!$C116, INDIRECT( "Lookup_" &amp; APIF_Import!$O116), VLOOKUP( APIF_Import!$O116 &amp; APIF_Import!$F$1,Podesavanja!$AA$3:$AD$28, 4, 0), 0))</f>
        <v/>
      </c>
      <c r="G116" s="230" t="str">
        <f ca="1">IF( ISNA( VLOOKUP( APIF_Import!$O116 &amp; APIF_Import!$G$1,Podesavanja!$AA$3:$AD$28, 4, 0)), "", VLOOKUP( APIF_Import!$C116, INDIRECT( "Lookup_" &amp; APIF_Import!$O116), VLOOKUP( APIF_Import!$O116 &amp; APIF_Import!$G$1,Podesavanja!$AA$3:$AD$28, 4, 0), 0))</f>
        <v/>
      </c>
      <c r="H116" s="230" t="str">
        <f ca="1">IF( ISNA( VLOOKUP( APIF_Import!$O116 &amp; APIF_Import!$H$1,Podesavanja!$AA$3:$AD$28, 4, 0)), "", VLOOKUP( APIF_Import!$C116, INDIRECT( "Lookup_" &amp; APIF_Import!$O116), VLOOKUP( APIF_Import!$O116 &amp; APIF_Import!$H$1,Podesavanja!$AA$3:$AD$28, 4, 0), 0))</f>
        <v/>
      </c>
      <c r="I116" s="230" t="str">
        <f ca="1">IF( ISNA( VLOOKUP( APIF_Import!$O116 &amp; APIF_Import!$I$1,Podesavanja!$AA$3:$AD$28, 4, 0)), "", VLOOKUP( APIF_Import!$C116, INDIRECT( "Lookup_" &amp; APIF_Import!$M116:$O116), VLOOKUP( APIF_Import!$O116 &amp; APIF_Import!$I$1,Podesavanja!$AA$3:$AD$28, 4, 0), 0))</f>
        <v/>
      </c>
      <c r="J116" s="230" t="str">
        <f ca="1">IF( ISNA( VLOOKUP( APIF_Import!$O116 &amp; APIF_Import!$J$1,Podesavanja!$AA$3:$AD$28, 4, 0)), "", VLOOKUP( APIF_Import!$C116, INDIRECT( "Lookup_" &amp; APIF_Import!$M116:$O116), VLOOKUP( APIF_Import!$O116 &amp; APIF_Import!$J$1,Podesavanja!$AA$3:$AD$28, 4, 0), 0))</f>
        <v/>
      </c>
      <c r="K116" s="230" t="str">
        <f ca="1">IF( ISNA( VLOOKUP( APIF_Import!$O116 &amp; APIF_Import!$K$1,Podesavanja!$AA$3:$AD$28, 4, 0)), "", VLOOKUP( APIF_Import!$C116, INDIRECT( "Lookup_" &amp; APIF_Import!$M116:$O116), VLOOKUP( APIF_Import!$O116 &amp; APIF_Import!$K$1,Podesavanja!$AA$3:$AD$28, 4, 0), 0))</f>
        <v/>
      </c>
      <c r="L116" s="230" t="str">
        <f ca="1">IF( ISNA( VLOOKUP( APIF_Import!$O116 &amp; APIF_Import!$L$1,Podesavanja!$AA$3:$AD$28, 4, 0)), "", VLOOKUP( APIF_Import!$C116, INDIRECT( "Lookup_" &amp; APIF_Import!$M116:$O116), VLOOKUP( APIF_Import!$O116 &amp; APIF_Import!$L$1,Podesavanja!$AA$3:$AD$28, 4, 0), 0))</f>
        <v/>
      </c>
      <c r="M116" s="230" t="str">
        <f ca="1">IF( ISNA( VLOOKUP( APIF_Import!$O116 &amp; APIF_Import!$M$1,Podesavanja!$AA$3:$AD$28, 4, 0)), "", VLOOKUP( APIF_Import!$C116, INDIRECT( "Lookup_" &amp; APIF_Import!$M116:$O116), VLOOKUP( APIF_Import!$O116 &amp; APIF_Import!$M$1,Podesavanja!$AA$3:$AD$28, 4, 0), 0))</f>
        <v/>
      </c>
      <c r="N116" s="8">
        <v>115</v>
      </c>
      <c r="O116" s="230" t="s">
        <v>2896</v>
      </c>
    </row>
    <row r="117" spans="2:15">
      <c r="B117" s="44">
        <f ca="1">VLOOKUP( APIF_Import!$O117, Podesavanja!$N$3:$Q$9, 4, 0)</f>
        <v>2</v>
      </c>
      <c r="C117" s="229">
        <f ca="1">VLOOKUP( APIF_Import!$N117, Aop!$A$2:$P$456, 4, 0)</f>
        <v>149</v>
      </c>
      <c r="D117" s="230" t="str">
        <f ca="1">IF( ISNA( VLOOKUP( APIF_Import!$O117 &amp; APIF_Import!$D$1,Podesavanja!$AA$3:$AD$28, 4, 0)), "", SUBSTITUTE( VALUE( VLOOKUP( APIF_Import!$C117, INDIRECT( "Lookup_" &amp; APIF_Import!$O117), VLOOKUP( APIF_Import!$O117 &amp; APIF_Import!$D$1,Podesavanja!$AA$3:$AD$28, 4, 0), 0)), ".", ","))</f>
        <v>0</v>
      </c>
      <c r="E117" s="230">
        <f ca="1">IF( ISNA( VLOOKUP( APIF_Import!$O117 &amp; APIF_Import!$E$1,Podesavanja!$AA$3:$AD$28, 4, 0)), "", VLOOKUP( APIF_Import!$C117, INDIRECT( "Lookup_" &amp; APIF_Import!$O117), VLOOKUP( APIF_Import!$O117 &amp; APIF_Import!$E$1,Podesavanja!$AA$3:$AD$28, 4, 0), 0))</f>
        <v>0</v>
      </c>
      <c r="F117" s="230" t="str">
        <f ca="1">IF( ISNA( VLOOKUP( APIF_Import!$O117 &amp; APIF_Import!$F$1,Podesavanja!$AA$3:$AD$28, 4, 0)), "", VLOOKUP( APIF_Import!$C117, INDIRECT( "Lookup_" &amp; APIF_Import!$O117), VLOOKUP( APIF_Import!$O117 &amp; APIF_Import!$F$1,Podesavanja!$AA$3:$AD$28, 4, 0), 0))</f>
        <v/>
      </c>
      <c r="G117" s="230" t="str">
        <f ca="1">IF( ISNA( VLOOKUP( APIF_Import!$O117 &amp; APIF_Import!$G$1,Podesavanja!$AA$3:$AD$28, 4, 0)), "", VLOOKUP( APIF_Import!$C117, INDIRECT( "Lookup_" &amp; APIF_Import!$O117), VLOOKUP( APIF_Import!$O117 &amp; APIF_Import!$G$1,Podesavanja!$AA$3:$AD$28, 4, 0), 0))</f>
        <v/>
      </c>
      <c r="H117" s="230" t="str">
        <f ca="1">IF( ISNA( VLOOKUP( APIF_Import!$O117 &amp; APIF_Import!$H$1,Podesavanja!$AA$3:$AD$28, 4, 0)), "", VLOOKUP( APIF_Import!$C117, INDIRECT( "Lookup_" &amp; APIF_Import!$O117), VLOOKUP( APIF_Import!$O117 &amp; APIF_Import!$H$1,Podesavanja!$AA$3:$AD$28, 4, 0), 0))</f>
        <v/>
      </c>
      <c r="I117" s="230" t="str">
        <f ca="1">IF( ISNA( VLOOKUP( APIF_Import!$O117 &amp; APIF_Import!$I$1,Podesavanja!$AA$3:$AD$28, 4, 0)), "", VLOOKUP( APIF_Import!$C117, INDIRECT( "Lookup_" &amp; APIF_Import!$M117:$O117), VLOOKUP( APIF_Import!$O117 &amp; APIF_Import!$I$1,Podesavanja!$AA$3:$AD$28, 4, 0), 0))</f>
        <v/>
      </c>
      <c r="J117" s="230" t="str">
        <f ca="1">IF( ISNA( VLOOKUP( APIF_Import!$O117 &amp; APIF_Import!$J$1,Podesavanja!$AA$3:$AD$28, 4, 0)), "", VLOOKUP( APIF_Import!$C117, INDIRECT( "Lookup_" &amp; APIF_Import!$M117:$O117), VLOOKUP( APIF_Import!$O117 &amp; APIF_Import!$J$1,Podesavanja!$AA$3:$AD$28, 4, 0), 0))</f>
        <v/>
      </c>
      <c r="K117" s="230" t="str">
        <f ca="1">IF( ISNA( VLOOKUP( APIF_Import!$O117 &amp; APIF_Import!$K$1,Podesavanja!$AA$3:$AD$28, 4, 0)), "", VLOOKUP( APIF_Import!$C117, INDIRECT( "Lookup_" &amp; APIF_Import!$M117:$O117), VLOOKUP( APIF_Import!$O117 &amp; APIF_Import!$K$1,Podesavanja!$AA$3:$AD$28, 4, 0), 0))</f>
        <v/>
      </c>
      <c r="L117" s="230" t="str">
        <f ca="1">IF( ISNA( VLOOKUP( APIF_Import!$O117 &amp; APIF_Import!$L$1,Podesavanja!$AA$3:$AD$28, 4, 0)), "", VLOOKUP( APIF_Import!$C117, INDIRECT( "Lookup_" &amp; APIF_Import!$M117:$O117), VLOOKUP( APIF_Import!$O117 &amp; APIF_Import!$L$1,Podesavanja!$AA$3:$AD$28, 4, 0), 0))</f>
        <v/>
      </c>
      <c r="M117" s="230" t="str">
        <f ca="1">IF( ISNA( VLOOKUP( APIF_Import!$O117 &amp; APIF_Import!$M$1,Podesavanja!$AA$3:$AD$28, 4, 0)), "", VLOOKUP( APIF_Import!$C117, INDIRECT( "Lookup_" &amp; APIF_Import!$M117:$O117), VLOOKUP( APIF_Import!$O117 &amp; APIF_Import!$M$1,Podesavanja!$AA$3:$AD$28, 4, 0), 0))</f>
        <v/>
      </c>
      <c r="N117" s="8">
        <v>116</v>
      </c>
      <c r="O117" s="230" t="s">
        <v>2896</v>
      </c>
    </row>
    <row r="118" spans="2:15">
      <c r="B118" s="44">
        <f ca="1">VLOOKUP( APIF_Import!$O118, Podesavanja!$N$3:$Q$9, 4, 0)</f>
        <v>2</v>
      </c>
      <c r="C118" s="229">
        <f ca="1">VLOOKUP( APIF_Import!$N118, Aop!$A$2:$P$456, 4, 0)</f>
        <v>150</v>
      </c>
      <c r="D118" s="230" t="str">
        <f ca="1">IF( ISNA( VLOOKUP( APIF_Import!$O118 &amp; APIF_Import!$D$1,Podesavanja!$AA$3:$AD$28, 4, 0)), "", SUBSTITUTE( VALUE( VLOOKUP( APIF_Import!$C118, INDIRECT( "Lookup_" &amp; APIF_Import!$O118), VLOOKUP( APIF_Import!$O118 &amp; APIF_Import!$D$1,Podesavanja!$AA$3:$AD$28, 4, 0), 0)), ".", ","))</f>
        <v>0</v>
      </c>
      <c r="E118" s="230">
        <f ca="1">IF( ISNA( VLOOKUP( APIF_Import!$O118 &amp; APIF_Import!$E$1,Podesavanja!$AA$3:$AD$28, 4, 0)), "", VLOOKUP( APIF_Import!$C118, INDIRECT( "Lookup_" &amp; APIF_Import!$O118), VLOOKUP( APIF_Import!$O118 &amp; APIF_Import!$E$1,Podesavanja!$AA$3:$AD$28, 4, 0), 0))</f>
        <v>0</v>
      </c>
      <c r="F118" s="230" t="str">
        <f ca="1">IF( ISNA( VLOOKUP( APIF_Import!$O118 &amp; APIF_Import!$F$1,Podesavanja!$AA$3:$AD$28, 4, 0)), "", VLOOKUP( APIF_Import!$C118, INDIRECT( "Lookup_" &amp; APIF_Import!$O118), VLOOKUP( APIF_Import!$O118 &amp; APIF_Import!$F$1,Podesavanja!$AA$3:$AD$28, 4, 0), 0))</f>
        <v/>
      </c>
      <c r="G118" s="230" t="str">
        <f ca="1">IF( ISNA( VLOOKUP( APIF_Import!$O118 &amp; APIF_Import!$G$1,Podesavanja!$AA$3:$AD$28, 4, 0)), "", VLOOKUP( APIF_Import!$C118, INDIRECT( "Lookup_" &amp; APIF_Import!$O118), VLOOKUP( APIF_Import!$O118 &amp; APIF_Import!$G$1,Podesavanja!$AA$3:$AD$28, 4, 0), 0))</f>
        <v/>
      </c>
      <c r="H118" s="230" t="str">
        <f ca="1">IF( ISNA( VLOOKUP( APIF_Import!$O118 &amp; APIF_Import!$H$1,Podesavanja!$AA$3:$AD$28, 4, 0)), "", VLOOKUP( APIF_Import!$C118, INDIRECT( "Lookup_" &amp; APIF_Import!$O118), VLOOKUP( APIF_Import!$O118 &amp; APIF_Import!$H$1,Podesavanja!$AA$3:$AD$28, 4, 0), 0))</f>
        <v/>
      </c>
      <c r="I118" s="230" t="str">
        <f ca="1">IF( ISNA( VLOOKUP( APIF_Import!$O118 &amp; APIF_Import!$I$1,Podesavanja!$AA$3:$AD$28, 4, 0)), "", VLOOKUP( APIF_Import!$C118, INDIRECT( "Lookup_" &amp; APIF_Import!$M118:$O118), VLOOKUP( APIF_Import!$O118 &amp; APIF_Import!$I$1,Podesavanja!$AA$3:$AD$28, 4, 0), 0))</f>
        <v/>
      </c>
      <c r="J118" s="230" t="str">
        <f ca="1">IF( ISNA( VLOOKUP( APIF_Import!$O118 &amp; APIF_Import!$J$1,Podesavanja!$AA$3:$AD$28, 4, 0)), "", VLOOKUP( APIF_Import!$C118, INDIRECT( "Lookup_" &amp; APIF_Import!$M118:$O118), VLOOKUP( APIF_Import!$O118 &amp; APIF_Import!$J$1,Podesavanja!$AA$3:$AD$28, 4, 0), 0))</f>
        <v/>
      </c>
      <c r="K118" s="230" t="str">
        <f ca="1">IF( ISNA( VLOOKUP( APIF_Import!$O118 &amp; APIF_Import!$K$1,Podesavanja!$AA$3:$AD$28, 4, 0)), "", VLOOKUP( APIF_Import!$C118, INDIRECT( "Lookup_" &amp; APIF_Import!$M118:$O118), VLOOKUP( APIF_Import!$O118 &amp; APIF_Import!$K$1,Podesavanja!$AA$3:$AD$28, 4, 0), 0))</f>
        <v/>
      </c>
      <c r="L118" s="230" t="str">
        <f ca="1">IF( ISNA( VLOOKUP( APIF_Import!$O118 &amp; APIF_Import!$L$1,Podesavanja!$AA$3:$AD$28, 4, 0)), "", VLOOKUP( APIF_Import!$C118, INDIRECT( "Lookup_" &amp; APIF_Import!$M118:$O118), VLOOKUP( APIF_Import!$O118 &amp; APIF_Import!$L$1,Podesavanja!$AA$3:$AD$28, 4, 0), 0))</f>
        <v/>
      </c>
      <c r="M118" s="230" t="str">
        <f ca="1">IF( ISNA( VLOOKUP( APIF_Import!$O118 &amp; APIF_Import!$M$1,Podesavanja!$AA$3:$AD$28, 4, 0)), "", VLOOKUP( APIF_Import!$C118, INDIRECT( "Lookup_" &amp; APIF_Import!$M118:$O118), VLOOKUP( APIF_Import!$O118 &amp; APIF_Import!$M$1,Podesavanja!$AA$3:$AD$28, 4, 0), 0))</f>
        <v/>
      </c>
      <c r="N118" s="8">
        <v>117</v>
      </c>
      <c r="O118" s="230" t="s">
        <v>2896</v>
      </c>
    </row>
    <row r="119" spans="2:15">
      <c r="B119" s="44">
        <f ca="1">VLOOKUP( APIF_Import!$O119, Podesavanja!$N$3:$Q$9, 4, 0)</f>
        <v>2</v>
      </c>
      <c r="C119" s="229">
        <f ca="1">VLOOKUP( APIF_Import!$N119, Aop!$A$2:$P$456, 4, 0)</f>
        <v>151</v>
      </c>
      <c r="D119" s="230" t="str">
        <f ca="1">IF( ISNA( VLOOKUP( APIF_Import!$O119 &amp; APIF_Import!$D$1,Podesavanja!$AA$3:$AD$28, 4, 0)), "", SUBSTITUTE( VALUE( VLOOKUP( APIF_Import!$C119, INDIRECT( "Lookup_" &amp; APIF_Import!$O119), VLOOKUP( APIF_Import!$O119 &amp; APIF_Import!$D$1,Podesavanja!$AA$3:$AD$28, 4, 0), 0)), ".", ","))</f>
        <v>0</v>
      </c>
      <c r="E119" s="230">
        <f ca="1">IF( ISNA( VLOOKUP( APIF_Import!$O119 &amp; APIF_Import!$E$1,Podesavanja!$AA$3:$AD$28, 4, 0)), "", VLOOKUP( APIF_Import!$C119, INDIRECT( "Lookup_" &amp; APIF_Import!$O119), VLOOKUP( APIF_Import!$O119 &amp; APIF_Import!$E$1,Podesavanja!$AA$3:$AD$28, 4, 0), 0))</f>
        <v>0</v>
      </c>
      <c r="F119" s="230" t="str">
        <f ca="1">IF( ISNA( VLOOKUP( APIF_Import!$O119 &amp; APIF_Import!$F$1,Podesavanja!$AA$3:$AD$28, 4, 0)), "", VLOOKUP( APIF_Import!$C119, INDIRECT( "Lookup_" &amp; APIF_Import!$O119), VLOOKUP( APIF_Import!$O119 &amp; APIF_Import!$F$1,Podesavanja!$AA$3:$AD$28, 4, 0), 0))</f>
        <v/>
      </c>
      <c r="G119" s="230" t="str">
        <f ca="1">IF( ISNA( VLOOKUP( APIF_Import!$O119 &amp; APIF_Import!$G$1,Podesavanja!$AA$3:$AD$28, 4, 0)), "", VLOOKUP( APIF_Import!$C119, INDIRECT( "Lookup_" &amp; APIF_Import!$O119), VLOOKUP( APIF_Import!$O119 &amp; APIF_Import!$G$1,Podesavanja!$AA$3:$AD$28, 4, 0), 0))</f>
        <v/>
      </c>
      <c r="H119" s="230" t="str">
        <f ca="1">IF( ISNA( VLOOKUP( APIF_Import!$O119 &amp; APIF_Import!$H$1,Podesavanja!$AA$3:$AD$28, 4, 0)), "", VLOOKUP( APIF_Import!$C119, INDIRECT( "Lookup_" &amp; APIF_Import!$O119), VLOOKUP( APIF_Import!$O119 &amp; APIF_Import!$H$1,Podesavanja!$AA$3:$AD$28, 4, 0), 0))</f>
        <v/>
      </c>
      <c r="I119" s="230" t="str">
        <f ca="1">IF( ISNA( VLOOKUP( APIF_Import!$O119 &amp; APIF_Import!$I$1,Podesavanja!$AA$3:$AD$28, 4, 0)), "", VLOOKUP( APIF_Import!$C119, INDIRECT( "Lookup_" &amp; APIF_Import!$M119:$O119), VLOOKUP( APIF_Import!$O119 &amp; APIF_Import!$I$1,Podesavanja!$AA$3:$AD$28, 4, 0), 0))</f>
        <v/>
      </c>
      <c r="J119" s="230" t="str">
        <f ca="1">IF( ISNA( VLOOKUP( APIF_Import!$O119 &amp; APIF_Import!$J$1,Podesavanja!$AA$3:$AD$28, 4, 0)), "", VLOOKUP( APIF_Import!$C119, INDIRECT( "Lookup_" &amp; APIF_Import!$M119:$O119), VLOOKUP( APIF_Import!$O119 &amp; APIF_Import!$J$1,Podesavanja!$AA$3:$AD$28, 4, 0), 0))</f>
        <v/>
      </c>
      <c r="K119" s="230" t="str">
        <f ca="1">IF( ISNA( VLOOKUP( APIF_Import!$O119 &amp; APIF_Import!$K$1,Podesavanja!$AA$3:$AD$28, 4, 0)), "", VLOOKUP( APIF_Import!$C119, INDIRECT( "Lookup_" &amp; APIF_Import!$M119:$O119), VLOOKUP( APIF_Import!$O119 &amp; APIF_Import!$K$1,Podesavanja!$AA$3:$AD$28, 4, 0), 0))</f>
        <v/>
      </c>
      <c r="L119" s="230" t="str">
        <f ca="1">IF( ISNA( VLOOKUP( APIF_Import!$O119 &amp; APIF_Import!$L$1,Podesavanja!$AA$3:$AD$28, 4, 0)), "", VLOOKUP( APIF_Import!$C119, INDIRECT( "Lookup_" &amp; APIF_Import!$M119:$O119), VLOOKUP( APIF_Import!$O119 &amp; APIF_Import!$L$1,Podesavanja!$AA$3:$AD$28, 4, 0), 0))</f>
        <v/>
      </c>
      <c r="M119" s="230" t="str">
        <f ca="1">IF( ISNA( VLOOKUP( APIF_Import!$O119 &amp; APIF_Import!$M$1,Podesavanja!$AA$3:$AD$28, 4, 0)), "", VLOOKUP( APIF_Import!$C119, INDIRECT( "Lookup_" &amp; APIF_Import!$M119:$O119), VLOOKUP( APIF_Import!$O119 &amp; APIF_Import!$M$1,Podesavanja!$AA$3:$AD$28, 4, 0), 0))</f>
        <v/>
      </c>
      <c r="N119" s="8">
        <v>118</v>
      </c>
      <c r="O119" s="230" t="s">
        <v>2896</v>
      </c>
    </row>
    <row r="120" spans="2:15">
      <c r="B120" s="44">
        <f ca="1">VLOOKUP( APIF_Import!$O120, Podesavanja!$N$3:$Q$9, 4, 0)</f>
        <v>2</v>
      </c>
      <c r="C120" s="229">
        <f ca="1">VLOOKUP( APIF_Import!$N120, Aop!$A$2:$P$456, 4, 0)</f>
        <v>152</v>
      </c>
      <c r="D120" s="230" t="str">
        <f ca="1">IF( ISNA( VLOOKUP( APIF_Import!$O120 &amp; APIF_Import!$D$1,Podesavanja!$AA$3:$AD$28, 4, 0)), "", SUBSTITUTE( VALUE( VLOOKUP( APIF_Import!$C120, INDIRECT( "Lookup_" &amp; APIF_Import!$O120), VLOOKUP( APIF_Import!$O120 &amp; APIF_Import!$D$1,Podesavanja!$AA$3:$AD$28, 4, 0), 0)), ".", ","))</f>
        <v>0</v>
      </c>
      <c r="E120" s="230">
        <f ca="1">IF( ISNA( VLOOKUP( APIF_Import!$O120 &amp; APIF_Import!$E$1,Podesavanja!$AA$3:$AD$28, 4, 0)), "", VLOOKUP( APIF_Import!$C120, INDIRECT( "Lookup_" &amp; APIF_Import!$O120), VLOOKUP( APIF_Import!$O120 &amp; APIF_Import!$E$1,Podesavanja!$AA$3:$AD$28, 4, 0), 0))</f>
        <v>0</v>
      </c>
      <c r="F120" s="230" t="str">
        <f ca="1">IF( ISNA( VLOOKUP( APIF_Import!$O120 &amp; APIF_Import!$F$1,Podesavanja!$AA$3:$AD$28, 4, 0)), "", VLOOKUP( APIF_Import!$C120, INDIRECT( "Lookup_" &amp; APIF_Import!$O120), VLOOKUP( APIF_Import!$O120 &amp; APIF_Import!$F$1,Podesavanja!$AA$3:$AD$28, 4, 0), 0))</f>
        <v/>
      </c>
      <c r="G120" s="230" t="str">
        <f ca="1">IF( ISNA( VLOOKUP( APIF_Import!$O120 &amp; APIF_Import!$G$1,Podesavanja!$AA$3:$AD$28, 4, 0)), "", VLOOKUP( APIF_Import!$C120, INDIRECT( "Lookup_" &amp; APIF_Import!$O120), VLOOKUP( APIF_Import!$O120 &amp; APIF_Import!$G$1,Podesavanja!$AA$3:$AD$28, 4, 0), 0))</f>
        <v/>
      </c>
      <c r="H120" s="230" t="str">
        <f ca="1">IF( ISNA( VLOOKUP( APIF_Import!$O120 &amp; APIF_Import!$H$1,Podesavanja!$AA$3:$AD$28, 4, 0)), "", VLOOKUP( APIF_Import!$C120, INDIRECT( "Lookup_" &amp; APIF_Import!$O120), VLOOKUP( APIF_Import!$O120 &amp; APIF_Import!$H$1,Podesavanja!$AA$3:$AD$28, 4, 0), 0))</f>
        <v/>
      </c>
      <c r="I120" s="230" t="str">
        <f ca="1">IF( ISNA( VLOOKUP( APIF_Import!$O120 &amp; APIF_Import!$I$1,Podesavanja!$AA$3:$AD$28, 4, 0)), "", VLOOKUP( APIF_Import!$C120, INDIRECT( "Lookup_" &amp; APIF_Import!$M120:$O120), VLOOKUP( APIF_Import!$O120 &amp; APIF_Import!$I$1,Podesavanja!$AA$3:$AD$28, 4, 0), 0))</f>
        <v/>
      </c>
      <c r="J120" s="230" t="str">
        <f ca="1">IF( ISNA( VLOOKUP( APIF_Import!$O120 &amp; APIF_Import!$J$1,Podesavanja!$AA$3:$AD$28, 4, 0)), "", VLOOKUP( APIF_Import!$C120, INDIRECT( "Lookup_" &amp; APIF_Import!$M120:$O120), VLOOKUP( APIF_Import!$O120 &amp; APIF_Import!$J$1,Podesavanja!$AA$3:$AD$28, 4, 0), 0))</f>
        <v/>
      </c>
      <c r="K120" s="230" t="str">
        <f ca="1">IF( ISNA( VLOOKUP( APIF_Import!$O120 &amp; APIF_Import!$K$1,Podesavanja!$AA$3:$AD$28, 4, 0)), "", VLOOKUP( APIF_Import!$C120, INDIRECT( "Lookup_" &amp; APIF_Import!$M120:$O120), VLOOKUP( APIF_Import!$O120 &amp; APIF_Import!$K$1,Podesavanja!$AA$3:$AD$28, 4, 0), 0))</f>
        <v/>
      </c>
      <c r="L120" s="230" t="str">
        <f ca="1">IF( ISNA( VLOOKUP( APIF_Import!$O120 &amp; APIF_Import!$L$1,Podesavanja!$AA$3:$AD$28, 4, 0)), "", VLOOKUP( APIF_Import!$C120, INDIRECT( "Lookup_" &amp; APIF_Import!$M120:$O120), VLOOKUP( APIF_Import!$O120 &amp; APIF_Import!$L$1,Podesavanja!$AA$3:$AD$28, 4, 0), 0))</f>
        <v/>
      </c>
      <c r="M120" s="230" t="str">
        <f ca="1">IF( ISNA( VLOOKUP( APIF_Import!$O120 &amp; APIF_Import!$M$1,Podesavanja!$AA$3:$AD$28, 4, 0)), "", VLOOKUP( APIF_Import!$C120, INDIRECT( "Lookup_" &amp; APIF_Import!$M120:$O120), VLOOKUP( APIF_Import!$O120 &amp; APIF_Import!$M$1,Podesavanja!$AA$3:$AD$28, 4, 0), 0))</f>
        <v/>
      </c>
      <c r="N120" s="8">
        <v>119</v>
      </c>
      <c r="O120" s="230" t="s">
        <v>2896</v>
      </c>
    </row>
    <row r="121" spans="2:15">
      <c r="B121" s="44">
        <f ca="1">VLOOKUP( APIF_Import!$O121, Podesavanja!$N$3:$Q$9, 4, 0)</f>
        <v>2</v>
      </c>
      <c r="C121" s="229">
        <f ca="1">VLOOKUP( APIF_Import!$N121, Aop!$A$2:$P$456, 4, 0)</f>
        <v>153</v>
      </c>
      <c r="D121" s="230" t="str">
        <f ca="1">IF( ISNA( VLOOKUP( APIF_Import!$O121 &amp; APIF_Import!$D$1,Podesavanja!$AA$3:$AD$28, 4, 0)), "", SUBSTITUTE( VALUE( VLOOKUP( APIF_Import!$C121, INDIRECT( "Lookup_" &amp; APIF_Import!$O121), VLOOKUP( APIF_Import!$O121 &amp; APIF_Import!$D$1,Podesavanja!$AA$3:$AD$28, 4, 0), 0)), ".", ","))</f>
        <v>0</v>
      </c>
      <c r="E121" s="230">
        <f ca="1">IF( ISNA( VLOOKUP( APIF_Import!$O121 &amp; APIF_Import!$E$1,Podesavanja!$AA$3:$AD$28, 4, 0)), "", VLOOKUP( APIF_Import!$C121, INDIRECT( "Lookup_" &amp; APIF_Import!$O121), VLOOKUP( APIF_Import!$O121 &amp; APIF_Import!$E$1,Podesavanja!$AA$3:$AD$28, 4, 0), 0))</f>
        <v>0</v>
      </c>
      <c r="F121" s="230" t="str">
        <f ca="1">IF( ISNA( VLOOKUP( APIF_Import!$O121 &amp; APIF_Import!$F$1,Podesavanja!$AA$3:$AD$28, 4, 0)), "", VLOOKUP( APIF_Import!$C121, INDIRECT( "Lookup_" &amp; APIF_Import!$O121), VLOOKUP( APIF_Import!$O121 &amp; APIF_Import!$F$1,Podesavanja!$AA$3:$AD$28, 4, 0), 0))</f>
        <v/>
      </c>
      <c r="G121" s="230" t="str">
        <f ca="1">IF( ISNA( VLOOKUP( APIF_Import!$O121 &amp; APIF_Import!$G$1,Podesavanja!$AA$3:$AD$28, 4, 0)), "", VLOOKUP( APIF_Import!$C121, INDIRECT( "Lookup_" &amp; APIF_Import!$O121), VLOOKUP( APIF_Import!$O121 &amp; APIF_Import!$G$1,Podesavanja!$AA$3:$AD$28, 4, 0), 0))</f>
        <v/>
      </c>
      <c r="H121" s="230" t="str">
        <f ca="1">IF( ISNA( VLOOKUP( APIF_Import!$O121 &amp; APIF_Import!$H$1,Podesavanja!$AA$3:$AD$28, 4, 0)), "", VLOOKUP( APIF_Import!$C121, INDIRECT( "Lookup_" &amp; APIF_Import!$O121), VLOOKUP( APIF_Import!$O121 &amp; APIF_Import!$H$1,Podesavanja!$AA$3:$AD$28, 4, 0), 0))</f>
        <v/>
      </c>
      <c r="I121" s="230" t="str">
        <f ca="1">IF( ISNA( VLOOKUP( APIF_Import!$O121 &amp; APIF_Import!$I$1,Podesavanja!$AA$3:$AD$28, 4, 0)), "", VLOOKUP( APIF_Import!$C121, INDIRECT( "Lookup_" &amp; APIF_Import!$M121:$O121), VLOOKUP( APIF_Import!$O121 &amp; APIF_Import!$I$1,Podesavanja!$AA$3:$AD$28, 4, 0), 0))</f>
        <v/>
      </c>
      <c r="J121" s="230" t="str">
        <f ca="1">IF( ISNA( VLOOKUP( APIF_Import!$O121 &amp; APIF_Import!$J$1,Podesavanja!$AA$3:$AD$28, 4, 0)), "", VLOOKUP( APIF_Import!$C121, INDIRECT( "Lookup_" &amp; APIF_Import!$M121:$O121), VLOOKUP( APIF_Import!$O121 &amp; APIF_Import!$J$1,Podesavanja!$AA$3:$AD$28, 4, 0), 0))</f>
        <v/>
      </c>
      <c r="K121" s="230" t="str">
        <f ca="1">IF( ISNA( VLOOKUP( APIF_Import!$O121 &amp; APIF_Import!$K$1,Podesavanja!$AA$3:$AD$28, 4, 0)), "", VLOOKUP( APIF_Import!$C121, INDIRECT( "Lookup_" &amp; APIF_Import!$M121:$O121), VLOOKUP( APIF_Import!$O121 &amp; APIF_Import!$K$1,Podesavanja!$AA$3:$AD$28, 4, 0), 0))</f>
        <v/>
      </c>
      <c r="L121" s="230" t="str">
        <f ca="1">IF( ISNA( VLOOKUP( APIF_Import!$O121 &amp; APIF_Import!$L$1,Podesavanja!$AA$3:$AD$28, 4, 0)), "", VLOOKUP( APIF_Import!$C121, INDIRECT( "Lookup_" &amp; APIF_Import!$M121:$O121), VLOOKUP( APIF_Import!$O121 &amp; APIF_Import!$L$1,Podesavanja!$AA$3:$AD$28, 4, 0), 0))</f>
        <v/>
      </c>
      <c r="M121" s="230" t="str">
        <f ca="1">IF( ISNA( VLOOKUP( APIF_Import!$O121 &amp; APIF_Import!$M$1,Podesavanja!$AA$3:$AD$28, 4, 0)), "", VLOOKUP( APIF_Import!$C121, INDIRECT( "Lookup_" &amp; APIF_Import!$M121:$O121), VLOOKUP( APIF_Import!$O121 &amp; APIF_Import!$M$1,Podesavanja!$AA$3:$AD$28, 4, 0), 0))</f>
        <v/>
      </c>
      <c r="N121" s="8">
        <v>120</v>
      </c>
      <c r="O121" s="230" t="s">
        <v>2896</v>
      </c>
    </row>
    <row r="122" spans="2:15">
      <c r="B122" s="44">
        <f ca="1">VLOOKUP( APIF_Import!$O122, Podesavanja!$N$3:$Q$9, 4, 0)</f>
        <v>2</v>
      </c>
      <c r="C122" s="229">
        <f ca="1">VLOOKUP( APIF_Import!$N122, Aop!$A$2:$P$456, 4, 0)</f>
        <v>154</v>
      </c>
      <c r="D122" s="230" t="str">
        <f ca="1">IF( ISNA( VLOOKUP( APIF_Import!$O122 &amp; APIF_Import!$D$1,Podesavanja!$AA$3:$AD$28, 4, 0)), "", SUBSTITUTE( VALUE( VLOOKUP( APIF_Import!$C122, INDIRECT( "Lookup_" &amp; APIF_Import!$O122), VLOOKUP( APIF_Import!$O122 &amp; APIF_Import!$D$1,Podesavanja!$AA$3:$AD$28, 4, 0), 0)), ".", ","))</f>
        <v>0</v>
      </c>
      <c r="E122" s="230">
        <f ca="1">IF( ISNA( VLOOKUP( APIF_Import!$O122 &amp; APIF_Import!$E$1,Podesavanja!$AA$3:$AD$28, 4, 0)), "", VLOOKUP( APIF_Import!$C122, INDIRECT( "Lookup_" &amp; APIF_Import!$O122), VLOOKUP( APIF_Import!$O122 &amp; APIF_Import!$E$1,Podesavanja!$AA$3:$AD$28, 4, 0), 0))</f>
        <v>0</v>
      </c>
      <c r="F122" s="230" t="str">
        <f ca="1">IF( ISNA( VLOOKUP( APIF_Import!$O122 &amp; APIF_Import!$F$1,Podesavanja!$AA$3:$AD$28, 4, 0)), "", VLOOKUP( APIF_Import!$C122, INDIRECT( "Lookup_" &amp; APIF_Import!$O122), VLOOKUP( APIF_Import!$O122 &amp; APIF_Import!$F$1,Podesavanja!$AA$3:$AD$28, 4, 0), 0))</f>
        <v/>
      </c>
      <c r="G122" s="230" t="str">
        <f ca="1">IF( ISNA( VLOOKUP( APIF_Import!$O122 &amp; APIF_Import!$G$1,Podesavanja!$AA$3:$AD$28, 4, 0)), "", VLOOKUP( APIF_Import!$C122, INDIRECT( "Lookup_" &amp; APIF_Import!$O122), VLOOKUP( APIF_Import!$O122 &amp; APIF_Import!$G$1,Podesavanja!$AA$3:$AD$28, 4, 0), 0))</f>
        <v/>
      </c>
      <c r="H122" s="230" t="str">
        <f ca="1">IF( ISNA( VLOOKUP( APIF_Import!$O122 &amp; APIF_Import!$H$1,Podesavanja!$AA$3:$AD$28, 4, 0)), "", VLOOKUP( APIF_Import!$C122, INDIRECT( "Lookup_" &amp; APIF_Import!$O122), VLOOKUP( APIF_Import!$O122 &amp; APIF_Import!$H$1,Podesavanja!$AA$3:$AD$28, 4, 0), 0))</f>
        <v/>
      </c>
      <c r="I122" s="230" t="str">
        <f ca="1">IF( ISNA( VLOOKUP( APIF_Import!$O122 &amp; APIF_Import!$I$1,Podesavanja!$AA$3:$AD$28, 4, 0)), "", VLOOKUP( APIF_Import!$C122, INDIRECT( "Lookup_" &amp; APIF_Import!$M122:$O122), VLOOKUP( APIF_Import!$O122 &amp; APIF_Import!$I$1,Podesavanja!$AA$3:$AD$28, 4, 0), 0))</f>
        <v/>
      </c>
      <c r="J122" s="230" t="str">
        <f ca="1">IF( ISNA( VLOOKUP( APIF_Import!$O122 &amp; APIF_Import!$J$1,Podesavanja!$AA$3:$AD$28, 4, 0)), "", VLOOKUP( APIF_Import!$C122, INDIRECT( "Lookup_" &amp; APIF_Import!$M122:$O122), VLOOKUP( APIF_Import!$O122 &amp; APIF_Import!$J$1,Podesavanja!$AA$3:$AD$28, 4, 0), 0))</f>
        <v/>
      </c>
      <c r="K122" s="230" t="str">
        <f ca="1">IF( ISNA( VLOOKUP( APIF_Import!$O122 &amp; APIF_Import!$K$1,Podesavanja!$AA$3:$AD$28, 4, 0)), "", VLOOKUP( APIF_Import!$C122, INDIRECT( "Lookup_" &amp; APIF_Import!$M122:$O122), VLOOKUP( APIF_Import!$O122 &amp; APIF_Import!$K$1,Podesavanja!$AA$3:$AD$28, 4, 0), 0))</f>
        <v/>
      </c>
      <c r="L122" s="230" t="str">
        <f ca="1">IF( ISNA( VLOOKUP( APIF_Import!$O122 &amp; APIF_Import!$L$1,Podesavanja!$AA$3:$AD$28, 4, 0)), "", VLOOKUP( APIF_Import!$C122, INDIRECT( "Lookup_" &amp; APIF_Import!$M122:$O122), VLOOKUP( APIF_Import!$O122 &amp; APIF_Import!$L$1,Podesavanja!$AA$3:$AD$28, 4, 0), 0))</f>
        <v/>
      </c>
      <c r="M122" s="230" t="str">
        <f ca="1">IF( ISNA( VLOOKUP( APIF_Import!$O122 &amp; APIF_Import!$M$1,Podesavanja!$AA$3:$AD$28, 4, 0)), "", VLOOKUP( APIF_Import!$C122, INDIRECT( "Lookup_" &amp; APIF_Import!$M122:$O122), VLOOKUP( APIF_Import!$O122 &amp; APIF_Import!$M$1,Podesavanja!$AA$3:$AD$28, 4, 0), 0))</f>
        <v/>
      </c>
      <c r="N122" s="8">
        <v>121</v>
      </c>
      <c r="O122" s="230" t="s">
        <v>2896</v>
      </c>
    </row>
    <row r="123" spans="2:15">
      <c r="B123" s="44">
        <f ca="1">VLOOKUP( APIF_Import!$O123, Podesavanja!$N$3:$Q$9, 4, 0)</f>
        <v>2</v>
      </c>
      <c r="C123" s="229">
        <f ca="1">VLOOKUP( APIF_Import!$N123, Aop!$A$2:$P$456, 4, 0)</f>
        <v>155</v>
      </c>
      <c r="D123" s="230" t="str">
        <f ca="1">IF( ISNA( VLOOKUP( APIF_Import!$O123 &amp; APIF_Import!$D$1,Podesavanja!$AA$3:$AD$28, 4, 0)), "", SUBSTITUTE( VALUE( VLOOKUP( APIF_Import!$C123, INDIRECT( "Lookup_" &amp; APIF_Import!$O123), VLOOKUP( APIF_Import!$O123 &amp; APIF_Import!$D$1,Podesavanja!$AA$3:$AD$28, 4, 0), 0)), ".", ","))</f>
        <v>22781</v>
      </c>
      <c r="E123" s="230">
        <f ca="1">IF( ISNA( VLOOKUP( APIF_Import!$O123 &amp; APIF_Import!$E$1,Podesavanja!$AA$3:$AD$28, 4, 0)), "", VLOOKUP( APIF_Import!$C123, INDIRECT( "Lookup_" &amp; APIF_Import!$O123), VLOOKUP( APIF_Import!$O123 &amp; APIF_Import!$E$1,Podesavanja!$AA$3:$AD$28, 4, 0), 0))</f>
        <v>200285</v>
      </c>
      <c r="F123" s="230" t="str">
        <f ca="1">IF( ISNA( VLOOKUP( APIF_Import!$O123 &amp; APIF_Import!$F$1,Podesavanja!$AA$3:$AD$28, 4, 0)), "", VLOOKUP( APIF_Import!$C123, INDIRECT( "Lookup_" &amp; APIF_Import!$O123), VLOOKUP( APIF_Import!$O123 &amp; APIF_Import!$F$1,Podesavanja!$AA$3:$AD$28, 4, 0), 0))</f>
        <v/>
      </c>
      <c r="G123" s="230" t="str">
        <f ca="1">IF( ISNA( VLOOKUP( APIF_Import!$O123 &amp; APIF_Import!$G$1,Podesavanja!$AA$3:$AD$28, 4, 0)), "", VLOOKUP( APIF_Import!$C123, INDIRECT( "Lookup_" &amp; APIF_Import!$O123), VLOOKUP( APIF_Import!$O123 &amp; APIF_Import!$G$1,Podesavanja!$AA$3:$AD$28, 4, 0), 0))</f>
        <v/>
      </c>
      <c r="H123" s="230" t="str">
        <f ca="1">IF( ISNA( VLOOKUP( APIF_Import!$O123 &amp; APIF_Import!$H$1,Podesavanja!$AA$3:$AD$28, 4, 0)), "", VLOOKUP( APIF_Import!$C123, INDIRECT( "Lookup_" &amp; APIF_Import!$O123), VLOOKUP( APIF_Import!$O123 &amp; APIF_Import!$H$1,Podesavanja!$AA$3:$AD$28, 4, 0), 0))</f>
        <v/>
      </c>
      <c r="I123" s="230" t="str">
        <f ca="1">IF( ISNA( VLOOKUP( APIF_Import!$O123 &amp; APIF_Import!$I$1,Podesavanja!$AA$3:$AD$28, 4, 0)), "", VLOOKUP( APIF_Import!$C123, INDIRECT( "Lookup_" &amp; APIF_Import!$M123:$O123), VLOOKUP( APIF_Import!$O123 &amp; APIF_Import!$I$1,Podesavanja!$AA$3:$AD$28, 4, 0), 0))</f>
        <v/>
      </c>
      <c r="J123" s="230" t="str">
        <f ca="1">IF( ISNA( VLOOKUP( APIF_Import!$O123 &amp; APIF_Import!$J$1,Podesavanja!$AA$3:$AD$28, 4, 0)), "", VLOOKUP( APIF_Import!$C123, INDIRECT( "Lookup_" &amp; APIF_Import!$M123:$O123), VLOOKUP( APIF_Import!$O123 &amp; APIF_Import!$J$1,Podesavanja!$AA$3:$AD$28, 4, 0), 0))</f>
        <v/>
      </c>
      <c r="K123" s="230" t="str">
        <f ca="1">IF( ISNA( VLOOKUP( APIF_Import!$O123 &amp; APIF_Import!$K$1,Podesavanja!$AA$3:$AD$28, 4, 0)), "", VLOOKUP( APIF_Import!$C123, INDIRECT( "Lookup_" &amp; APIF_Import!$M123:$O123), VLOOKUP( APIF_Import!$O123 &amp; APIF_Import!$K$1,Podesavanja!$AA$3:$AD$28, 4, 0), 0))</f>
        <v/>
      </c>
      <c r="L123" s="230" t="str">
        <f ca="1">IF( ISNA( VLOOKUP( APIF_Import!$O123 &amp; APIF_Import!$L$1,Podesavanja!$AA$3:$AD$28, 4, 0)), "", VLOOKUP( APIF_Import!$C123, INDIRECT( "Lookup_" &amp; APIF_Import!$M123:$O123), VLOOKUP( APIF_Import!$O123 &amp; APIF_Import!$L$1,Podesavanja!$AA$3:$AD$28, 4, 0), 0))</f>
        <v/>
      </c>
      <c r="M123" s="230" t="str">
        <f ca="1">IF( ISNA( VLOOKUP( APIF_Import!$O123 &amp; APIF_Import!$M$1,Podesavanja!$AA$3:$AD$28, 4, 0)), "", VLOOKUP( APIF_Import!$C123, INDIRECT( "Lookup_" &amp; APIF_Import!$M123:$O123), VLOOKUP( APIF_Import!$O123 &amp; APIF_Import!$M$1,Podesavanja!$AA$3:$AD$28, 4, 0), 0))</f>
        <v/>
      </c>
      <c r="N123" s="8">
        <v>122</v>
      </c>
      <c r="O123" s="230" t="s">
        <v>2896</v>
      </c>
    </row>
    <row r="124" spans="2:15">
      <c r="B124" s="44">
        <f ca="1">VLOOKUP( APIF_Import!$O124, Podesavanja!$N$3:$Q$9, 4, 0)</f>
        <v>2</v>
      </c>
      <c r="C124" s="229">
        <f ca="1">VLOOKUP( APIF_Import!$N124, Aop!$A$2:$P$456, 4, 0)</f>
        <v>156</v>
      </c>
      <c r="D124" s="230" t="str">
        <f ca="1">IF( ISNA( VLOOKUP( APIF_Import!$O124 &amp; APIF_Import!$D$1,Podesavanja!$AA$3:$AD$28, 4, 0)), "", SUBSTITUTE( VALUE( VLOOKUP( APIF_Import!$C124, INDIRECT( "Lookup_" &amp; APIF_Import!$O124), VLOOKUP( APIF_Import!$O124 &amp; APIF_Import!$D$1,Podesavanja!$AA$3:$AD$28, 4, 0), 0)), ".", ","))</f>
        <v>5676</v>
      </c>
      <c r="E124" s="230">
        <f ca="1">IF( ISNA( VLOOKUP( APIF_Import!$O124 &amp; APIF_Import!$E$1,Podesavanja!$AA$3:$AD$28, 4, 0)), "", VLOOKUP( APIF_Import!$C124, INDIRECT( "Lookup_" &amp; APIF_Import!$O124), VLOOKUP( APIF_Import!$O124 &amp; APIF_Import!$E$1,Podesavanja!$AA$3:$AD$28, 4, 0), 0))</f>
        <v>5676</v>
      </c>
      <c r="F124" s="230" t="str">
        <f ca="1">IF( ISNA( VLOOKUP( APIF_Import!$O124 &amp; APIF_Import!$F$1,Podesavanja!$AA$3:$AD$28, 4, 0)), "", VLOOKUP( APIF_Import!$C124, INDIRECT( "Lookup_" &amp; APIF_Import!$O124), VLOOKUP( APIF_Import!$O124 &amp; APIF_Import!$F$1,Podesavanja!$AA$3:$AD$28, 4, 0), 0))</f>
        <v/>
      </c>
      <c r="G124" s="230" t="str">
        <f ca="1">IF( ISNA( VLOOKUP( APIF_Import!$O124 &amp; APIF_Import!$G$1,Podesavanja!$AA$3:$AD$28, 4, 0)), "", VLOOKUP( APIF_Import!$C124, INDIRECT( "Lookup_" &amp; APIF_Import!$O124), VLOOKUP( APIF_Import!$O124 &amp; APIF_Import!$G$1,Podesavanja!$AA$3:$AD$28, 4, 0), 0))</f>
        <v/>
      </c>
      <c r="H124" s="230" t="str">
        <f ca="1">IF( ISNA( VLOOKUP( APIF_Import!$O124 &amp; APIF_Import!$H$1,Podesavanja!$AA$3:$AD$28, 4, 0)), "", VLOOKUP( APIF_Import!$C124, INDIRECT( "Lookup_" &amp; APIF_Import!$O124), VLOOKUP( APIF_Import!$O124 &amp; APIF_Import!$H$1,Podesavanja!$AA$3:$AD$28, 4, 0), 0))</f>
        <v/>
      </c>
      <c r="I124" s="230" t="str">
        <f ca="1">IF( ISNA( VLOOKUP( APIF_Import!$O124 &amp; APIF_Import!$I$1,Podesavanja!$AA$3:$AD$28, 4, 0)), "", VLOOKUP( APIF_Import!$C124, INDIRECT( "Lookup_" &amp; APIF_Import!$M124:$O124), VLOOKUP( APIF_Import!$O124 &amp; APIF_Import!$I$1,Podesavanja!$AA$3:$AD$28, 4, 0), 0))</f>
        <v/>
      </c>
      <c r="J124" s="230" t="str">
        <f ca="1">IF( ISNA( VLOOKUP( APIF_Import!$O124 &amp; APIF_Import!$J$1,Podesavanja!$AA$3:$AD$28, 4, 0)), "", VLOOKUP( APIF_Import!$C124, INDIRECT( "Lookup_" &amp; APIF_Import!$M124:$O124), VLOOKUP( APIF_Import!$O124 &amp; APIF_Import!$J$1,Podesavanja!$AA$3:$AD$28, 4, 0), 0))</f>
        <v/>
      </c>
      <c r="K124" s="230" t="str">
        <f ca="1">IF( ISNA( VLOOKUP( APIF_Import!$O124 &amp; APIF_Import!$K$1,Podesavanja!$AA$3:$AD$28, 4, 0)), "", VLOOKUP( APIF_Import!$C124, INDIRECT( "Lookup_" &amp; APIF_Import!$M124:$O124), VLOOKUP( APIF_Import!$O124 &amp; APIF_Import!$K$1,Podesavanja!$AA$3:$AD$28, 4, 0), 0))</f>
        <v/>
      </c>
      <c r="L124" s="230" t="str">
        <f ca="1">IF( ISNA( VLOOKUP( APIF_Import!$O124 &amp; APIF_Import!$L$1,Podesavanja!$AA$3:$AD$28, 4, 0)), "", VLOOKUP( APIF_Import!$C124, INDIRECT( "Lookup_" &amp; APIF_Import!$M124:$O124), VLOOKUP( APIF_Import!$O124 &amp; APIF_Import!$L$1,Podesavanja!$AA$3:$AD$28, 4, 0), 0))</f>
        <v/>
      </c>
      <c r="M124" s="230" t="str">
        <f ca="1">IF( ISNA( VLOOKUP( APIF_Import!$O124 &amp; APIF_Import!$M$1,Podesavanja!$AA$3:$AD$28, 4, 0)), "", VLOOKUP( APIF_Import!$C124, INDIRECT( "Lookup_" &amp; APIF_Import!$M124:$O124), VLOOKUP( APIF_Import!$O124 &amp; APIF_Import!$M$1,Podesavanja!$AA$3:$AD$28, 4, 0), 0))</f>
        <v/>
      </c>
      <c r="N124" s="8">
        <v>123</v>
      </c>
      <c r="O124" s="230" t="s">
        <v>2896</v>
      </c>
    </row>
    <row r="125" spans="2:15">
      <c r="B125" s="44">
        <f ca="1">VLOOKUP( APIF_Import!$O125, Podesavanja!$N$3:$Q$9, 4, 0)</f>
        <v>2</v>
      </c>
      <c r="C125" s="229">
        <f ca="1">VLOOKUP( APIF_Import!$N125, Aop!$A$2:$P$456, 4, 0)</f>
        <v>157</v>
      </c>
      <c r="D125" s="230" t="str">
        <f ca="1">IF( ISNA( VLOOKUP( APIF_Import!$O125 &amp; APIF_Import!$D$1,Podesavanja!$AA$3:$AD$28, 4, 0)), "", SUBSTITUTE( VALUE( VLOOKUP( APIF_Import!$C125, INDIRECT( "Lookup_" &amp; APIF_Import!$O125), VLOOKUP( APIF_Import!$O125 &amp; APIF_Import!$D$1,Podesavanja!$AA$3:$AD$28, 4, 0), 0)), ".", ","))</f>
        <v>0</v>
      </c>
      <c r="E125" s="230">
        <f ca="1">IF( ISNA( VLOOKUP( APIF_Import!$O125 &amp; APIF_Import!$E$1,Podesavanja!$AA$3:$AD$28, 4, 0)), "", VLOOKUP( APIF_Import!$C125, INDIRECT( "Lookup_" &amp; APIF_Import!$O125), VLOOKUP( APIF_Import!$O125 &amp; APIF_Import!$E$1,Podesavanja!$AA$3:$AD$28, 4, 0), 0))</f>
        <v>0</v>
      </c>
      <c r="F125" s="230" t="str">
        <f ca="1">IF( ISNA( VLOOKUP( APIF_Import!$O125 &amp; APIF_Import!$F$1,Podesavanja!$AA$3:$AD$28, 4, 0)), "", VLOOKUP( APIF_Import!$C125, INDIRECT( "Lookup_" &amp; APIF_Import!$O125), VLOOKUP( APIF_Import!$O125 &amp; APIF_Import!$F$1,Podesavanja!$AA$3:$AD$28, 4, 0), 0))</f>
        <v/>
      </c>
      <c r="G125" s="230" t="str">
        <f ca="1">IF( ISNA( VLOOKUP( APIF_Import!$O125 &amp; APIF_Import!$G$1,Podesavanja!$AA$3:$AD$28, 4, 0)), "", VLOOKUP( APIF_Import!$C125, INDIRECT( "Lookup_" &amp; APIF_Import!$O125), VLOOKUP( APIF_Import!$O125 &amp; APIF_Import!$G$1,Podesavanja!$AA$3:$AD$28, 4, 0), 0))</f>
        <v/>
      </c>
      <c r="H125" s="230" t="str">
        <f ca="1">IF( ISNA( VLOOKUP( APIF_Import!$O125 &amp; APIF_Import!$H$1,Podesavanja!$AA$3:$AD$28, 4, 0)), "", VLOOKUP( APIF_Import!$C125, INDIRECT( "Lookup_" &amp; APIF_Import!$O125), VLOOKUP( APIF_Import!$O125 &amp; APIF_Import!$H$1,Podesavanja!$AA$3:$AD$28, 4, 0), 0))</f>
        <v/>
      </c>
      <c r="I125" s="230" t="str">
        <f ca="1">IF( ISNA( VLOOKUP( APIF_Import!$O125 &amp; APIF_Import!$I$1,Podesavanja!$AA$3:$AD$28, 4, 0)), "", VLOOKUP( APIF_Import!$C125, INDIRECT( "Lookup_" &amp; APIF_Import!$M125:$O125), VLOOKUP( APIF_Import!$O125 &amp; APIF_Import!$I$1,Podesavanja!$AA$3:$AD$28, 4, 0), 0))</f>
        <v/>
      </c>
      <c r="J125" s="230" t="str">
        <f ca="1">IF( ISNA( VLOOKUP( APIF_Import!$O125 &amp; APIF_Import!$J$1,Podesavanja!$AA$3:$AD$28, 4, 0)), "", VLOOKUP( APIF_Import!$C125, INDIRECT( "Lookup_" &amp; APIF_Import!$M125:$O125), VLOOKUP( APIF_Import!$O125 &amp; APIF_Import!$J$1,Podesavanja!$AA$3:$AD$28, 4, 0), 0))</f>
        <v/>
      </c>
      <c r="K125" s="230" t="str">
        <f ca="1">IF( ISNA( VLOOKUP( APIF_Import!$O125 &amp; APIF_Import!$K$1,Podesavanja!$AA$3:$AD$28, 4, 0)), "", VLOOKUP( APIF_Import!$C125, INDIRECT( "Lookup_" &amp; APIF_Import!$M125:$O125), VLOOKUP( APIF_Import!$O125 &amp; APIF_Import!$K$1,Podesavanja!$AA$3:$AD$28, 4, 0), 0))</f>
        <v/>
      </c>
      <c r="L125" s="230" t="str">
        <f ca="1">IF( ISNA( VLOOKUP( APIF_Import!$O125 &amp; APIF_Import!$L$1,Podesavanja!$AA$3:$AD$28, 4, 0)), "", VLOOKUP( APIF_Import!$C125, INDIRECT( "Lookup_" &amp; APIF_Import!$M125:$O125), VLOOKUP( APIF_Import!$O125 &amp; APIF_Import!$L$1,Podesavanja!$AA$3:$AD$28, 4, 0), 0))</f>
        <v/>
      </c>
      <c r="M125" s="230" t="str">
        <f ca="1">IF( ISNA( VLOOKUP( APIF_Import!$O125 &amp; APIF_Import!$M$1,Podesavanja!$AA$3:$AD$28, 4, 0)), "", VLOOKUP( APIF_Import!$C125, INDIRECT( "Lookup_" &amp; APIF_Import!$M125:$O125), VLOOKUP( APIF_Import!$O125 &amp; APIF_Import!$M$1,Podesavanja!$AA$3:$AD$28, 4, 0), 0))</f>
        <v/>
      </c>
      <c r="N125" s="8">
        <v>124</v>
      </c>
      <c r="O125" s="230" t="s">
        <v>2896</v>
      </c>
    </row>
    <row r="126" spans="2:15">
      <c r="B126" s="44">
        <f ca="1">VLOOKUP( APIF_Import!$O126, Podesavanja!$N$3:$Q$9, 4, 0)</f>
        <v>2</v>
      </c>
      <c r="C126" s="229">
        <f ca="1">VLOOKUP( APIF_Import!$N126, Aop!$A$2:$P$456, 4, 0)</f>
        <v>158</v>
      </c>
      <c r="D126" s="230" t="str">
        <f ca="1">IF( ISNA( VLOOKUP( APIF_Import!$O126 &amp; APIF_Import!$D$1,Podesavanja!$AA$3:$AD$28, 4, 0)), "", SUBSTITUTE( VALUE( VLOOKUP( APIF_Import!$C126, INDIRECT( "Lookup_" &amp; APIF_Import!$O126), VLOOKUP( APIF_Import!$O126 &amp; APIF_Import!$D$1,Podesavanja!$AA$3:$AD$28, 4, 0), 0)), ".", ","))</f>
        <v>15641</v>
      </c>
      <c r="E126" s="230">
        <f ca="1">IF( ISNA( VLOOKUP( APIF_Import!$O126 &amp; APIF_Import!$E$1,Podesavanja!$AA$3:$AD$28, 4, 0)), "", VLOOKUP( APIF_Import!$C126, INDIRECT( "Lookup_" &amp; APIF_Import!$O126), VLOOKUP( APIF_Import!$O126 &amp; APIF_Import!$E$1,Podesavanja!$AA$3:$AD$28, 4, 0), 0))</f>
        <v>193145</v>
      </c>
      <c r="F126" s="230" t="str">
        <f ca="1">IF( ISNA( VLOOKUP( APIF_Import!$O126 &amp; APIF_Import!$F$1,Podesavanja!$AA$3:$AD$28, 4, 0)), "", VLOOKUP( APIF_Import!$C126, INDIRECT( "Lookup_" &amp; APIF_Import!$O126), VLOOKUP( APIF_Import!$O126 &amp; APIF_Import!$F$1,Podesavanja!$AA$3:$AD$28, 4, 0), 0))</f>
        <v/>
      </c>
      <c r="G126" s="230" t="str">
        <f ca="1">IF( ISNA( VLOOKUP( APIF_Import!$O126 &amp; APIF_Import!$G$1,Podesavanja!$AA$3:$AD$28, 4, 0)), "", VLOOKUP( APIF_Import!$C126, INDIRECT( "Lookup_" &amp; APIF_Import!$O126), VLOOKUP( APIF_Import!$O126 &amp; APIF_Import!$G$1,Podesavanja!$AA$3:$AD$28, 4, 0), 0))</f>
        <v/>
      </c>
      <c r="H126" s="230" t="str">
        <f ca="1">IF( ISNA( VLOOKUP( APIF_Import!$O126 &amp; APIF_Import!$H$1,Podesavanja!$AA$3:$AD$28, 4, 0)), "", VLOOKUP( APIF_Import!$C126, INDIRECT( "Lookup_" &amp; APIF_Import!$O126), VLOOKUP( APIF_Import!$O126 &amp; APIF_Import!$H$1,Podesavanja!$AA$3:$AD$28, 4, 0), 0))</f>
        <v/>
      </c>
      <c r="I126" s="230" t="str">
        <f ca="1">IF( ISNA( VLOOKUP( APIF_Import!$O126 &amp; APIF_Import!$I$1,Podesavanja!$AA$3:$AD$28, 4, 0)), "", VLOOKUP( APIF_Import!$C126, INDIRECT( "Lookup_" &amp; APIF_Import!$M126:$O126), VLOOKUP( APIF_Import!$O126 &amp; APIF_Import!$I$1,Podesavanja!$AA$3:$AD$28, 4, 0), 0))</f>
        <v/>
      </c>
      <c r="J126" s="230" t="str">
        <f ca="1">IF( ISNA( VLOOKUP( APIF_Import!$O126 &amp; APIF_Import!$J$1,Podesavanja!$AA$3:$AD$28, 4, 0)), "", VLOOKUP( APIF_Import!$C126, INDIRECT( "Lookup_" &amp; APIF_Import!$M126:$O126), VLOOKUP( APIF_Import!$O126 &amp; APIF_Import!$J$1,Podesavanja!$AA$3:$AD$28, 4, 0), 0))</f>
        <v/>
      </c>
      <c r="K126" s="230" t="str">
        <f ca="1">IF( ISNA( VLOOKUP( APIF_Import!$O126 &amp; APIF_Import!$K$1,Podesavanja!$AA$3:$AD$28, 4, 0)), "", VLOOKUP( APIF_Import!$C126, INDIRECT( "Lookup_" &amp; APIF_Import!$M126:$O126), VLOOKUP( APIF_Import!$O126 &amp; APIF_Import!$K$1,Podesavanja!$AA$3:$AD$28, 4, 0), 0))</f>
        <v/>
      </c>
      <c r="L126" s="230" t="str">
        <f ca="1">IF( ISNA( VLOOKUP( APIF_Import!$O126 &amp; APIF_Import!$L$1,Podesavanja!$AA$3:$AD$28, 4, 0)), "", VLOOKUP( APIF_Import!$C126, INDIRECT( "Lookup_" &amp; APIF_Import!$M126:$O126), VLOOKUP( APIF_Import!$O126 &amp; APIF_Import!$L$1,Podesavanja!$AA$3:$AD$28, 4, 0), 0))</f>
        <v/>
      </c>
      <c r="M126" s="230" t="str">
        <f ca="1">IF( ISNA( VLOOKUP( APIF_Import!$O126 &amp; APIF_Import!$M$1,Podesavanja!$AA$3:$AD$28, 4, 0)), "", VLOOKUP( APIF_Import!$C126, INDIRECT( "Lookup_" &amp; APIF_Import!$M126:$O126), VLOOKUP( APIF_Import!$O126 &amp; APIF_Import!$M$1,Podesavanja!$AA$3:$AD$28, 4, 0), 0))</f>
        <v/>
      </c>
      <c r="N126" s="8">
        <v>125</v>
      </c>
      <c r="O126" s="230" t="s">
        <v>2896</v>
      </c>
    </row>
    <row r="127" spans="2:15">
      <c r="B127" s="44">
        <f ca="1">VLOOKUP( APIF_Import!$O127, Podesavanja!$N$3:$Q$9, 4, 0)</f>
        <v>2</v>
      </c>
      <c r="C127" s="229">
        <f ca="1">VLOOKUP( APIF_Import!$N127, Aop!$A$2:$P$456, 4, 0)</f>
        <v>159</v>
      </c>
      <c r="D127" s="230" t="str">
        <f ca="1">IF( ISNA( VLOOKUP( APIF_Import!$O127 &amp; APIF_Import!$D$1,Podesavanja!$AA$3:$AD$28, 4, 0)), "", SUBSTITUTE( VALUE( VLOOKUP( APIF_Import!$C127, INDIRECT( "Lookup_" &amp; APIF_Import!$O127), VLOOKUP( APIF_Import!$O127 &amp; APIF_Import!$D$1,Podesavanja!$AA$3:$AD$28, 4, 0), 0)), ".", ","))</f>
        <v>1464</v>
      </c>
      <c r="E127" s="230">
        <f ca="1">IF( ISNA( VLOOKUP( APIF_Import!$O127 &amp; APIF_Import!$E$1,Podesavanja!$AA$3:$AD$28, 4, 0)), "", VLOOKUP( APIF_Import!$C127, INDIRECT( "Lookup_" &amp; APIF_Import!$O127), VLOOKUP( APIF_Import!$O127 &amp; APIF_Import!$E$1,Podesavanja!$AA$3:$AD$28, 4, 0), 0))</f>
        <v>1464</v>
      </c>
      <c r="F127" s="230" t="str">
        <f ca="1">IF( ISNA( VLOOKUP( APIF_Import!$O127 &amp; APIF_Import!$F$1,Podesavanja!$AA$3:$AD$28, 4, 0)), "", VLOOKUP( APIF_Import!$C127, INDIRECT( "Lookup_" &amp; APIF_Import!$O127), VLOOKUP( APIF_Import!$O127 &amp; APIF_Import!$F$1,Podesavanja!$AA$3:$AD$28, 4, 0), 0))</f>
        <v/>
      </c>
      <c r="G127" s="230" t="str">
        <f ca="1">IF( ISNA( VLOOKUP( APIF_Import!$O127 &amp; APIF_Import!$G$1,Podesavanja!$AA$3:$AD$28, 4, 0)), "", VLOOKUP( APIF_Import!$C127, INDIRECT( "Lookup_" &amp; APIF_Import!$O127), VLOOKUP( APIF_Import!$O127 &amp; APIF_Import!$G$1,Podesavanja!$AA$3:$AD$28, 4, 0), 0))</f>
        <v/>
      </c>
      <c r="H127" s="230" t="str">
        <f ca="1">IF( ISNA( VLOOKUP( APIF_Import!$O127 &amp; APIF_Import!$H$1,Podesavanja!$AA$3:$AD$28, 4, 0)), "", VLOOKUP( APIF_Import!$C127, INDIRECT( "Lookup_" &amp; APIF_Import!$O127), VLOOKUP( APIF_Import!$O127 &amp; APIF_Import!$H$1,Podesavanja!$AA$3:$AD$28, 4, 0), 0))</f>
        <v/>
      </c>
      <c r="I127" s="230" t="str">
        <f ca="1">IF( ISNA( VLOOKUP( APIF_Import!$O127 &amp; APIF_Import!$I$1,Podesavanja!$AA$3:$AD$28, 4, 0)), "", VLOOKUP( APIF_Import!$C127, INDIRECT( "Lookup_" &amp; APIF_Import!$M127:$O127), VLOOKUP( APIF_Import!$O127 &amp; APIF_Import!$I$1,Podesavanja!$AA$3:$AD$28, 4, 0), 0))</f>
        <v/>
      </c>
      <c r="J127" s="230" t="str">
        <f ca="1">IF( ISNA( VLOOKUP( APIF_Import!$O127 &amp; APIF_Import!$J$1,Podesavanja!$AA$3:$AD$28, 4, 0)), "", VLOOKUP( APIF_Import!$C127, INDIRECT( "Lookup_" &amp; APIF_Import!$M127:$O127), VLOOKUP( APIF_Import!$O127 &amp; APIF_Import!$J$1,Podesavanja!$AA$3:$AD$28, 4, 0), 0))</f>
        <v/>
      </c>
      <c r="K127" s="230" t="str">
        <f ca="1">IF( ISNA( VLOOKUP( APIF_Import!$O127 &amp; APIF_Import!$K$1,Podesavanja!$AA$3:$AD$28, 4, 0)), "", VLOOKUP( APIF_Import!$C127, INDIRECT( "Lookup_" &amp; APIF_Import!$M127:$O127), VLOOKUP( APIF_Import!$O127 &amp; APIF_Import!$K$1,Podesavanja!$AA$3:$AD$28, 4, 0), 0))</f>
        <v/>
      </c>
      <c r="L127" s="230" t="str">
        <f ca="1">IF( ISNA( VLOOKUP( APIF_Import!$O127 &amp; APIF_Import!$L$1,Podesavanja!$AA$3:$AD$28, 4, 0)), "", VLOOKUP( APIF_Import!$C127, INDIRECT( "Lookup_" &amp; APIF_Import!$M127:$O127), VLOOKUP( APIF_Import!$O127 &amp; APIF_Import!$L$1,Podesavanja!$AA$3:$AD$28, 4, 0), 0))</f>
        <v/>
      </c>
      <c r="M127" s="230" t="str">
        <f ca="1">IF( ISNA( VLOOKUP( APIF_Import!$O127 &amp; APIF_Import!$M$1,Podesavanja!$AA$3:$AD$28, 4, 0)), "", VLOOKUP( APIF_Import!$C127, INDIRECT( "Lookup_" &amp; APIF_Import!$M127:$O127), VLOOKUP( APIF_Import!$O127 &amp; APIF_Import!$M$1,Podesavanja!$AA$3:$AD$28, 4, 0), 0))</f>
        <v/>
      </c>
      <c r="N127" s="8">
        <v>126</v>
      </c>
      <c r="O127" s="230" t="s">
        <v>2896</v>
      </c>
    </row>
    <row r="128" spans="2:15">
      <c r="B128" s="44">
        <f ca="1">VLOOKUP( APIF_Import!$O128, Podesavanja!$N$3:$Q$9, 4, 0)</f>
        <v>2</v>
      </c>
      <c r="C128" s="229">
        <f ca="1">VLOOKUP( APIF_Import!$N128, Aop!$A$2:$P$456, 4, 0)</f>
        <v>160</v>
      </c>
      <c r="D128" s="230" t="str">
        <f ca="1">IF( ISNA( VLOOKUP( APIF_Import!$O128 &amp; APIF_Import!$D$1,Podesavanja!$AA$3:$AD$28, 4, 0)), "", SUBSTITUTE( VALUE( VLOOKUP( APIF_Import!$C128, INDIRECT( "Lookup_" &amp; APIF_Import!$O128), VLOOKUP( APIF_Import!$O128 &amp; APIF_Import!$D$1,Podesavanja!$AA$3:$AD$28, 4, 0), 0)), ".", ","))</f>
        <v>0</v>
      </c>
      <c r="E128" s="230">
        <f ca="1">IF( ISNA( VLOOKUP( APIF_Import!$O128 &amp; APIF_Import!$E$1,Podesavanja!$AA$3:$AD$28, 4, 0)), "", VLOOKUP( APIF_Import!$C128, INDIRECT( "Lookup_" &amp; APIF_Import!$O128), VLOOKUP( APIF_Import!$O128 &amp; APIF_Import!$E$1,Podesavanja!$AA$3:$AD$28, 4, 0), 0))</f>
        <v>0</v>
      </c>
      <c r="F128" s="230" t="str">
        <f ca="1">IF( ISNA( VLOOKUP( APIF_Import!$O128 &amp; APIF_Import!$F$1,Podesavanja!$AA$3:$AD$28, 4, 0)), "", VLOOKUP( APIF_Import!$C128, INDIRECT( "Lookup_" &amp; APIF_Import!$O128), VLOOKUP( APIF_Import!$O128 &amp; APIF_Import!$F$1,Podesavanja!$AA$3:$AD$28, 4, 0), 0))</f>
        <v/>
      </c>
      <c r="G128" s="230" t="str">
        <f ca="1">IF( ISNA( VLOOKUP( APIF_Import!$O128 &amp; APIF_Import!$G$1,Podesavanja!$AA$3:$AD$28, 4, 0)), "", VLOOKUP( APIF_Import!$C128, INDIRECT( "Lookup_" &amp; APIF_Import!$O128), VLOOKUP( APIF_Import!$O128 &amp; APIF_Import!$G$1,Podesavanja!$AA$3:$AD$28, 4, 0), 0))</f>
        <v/>
      </c>
      <c r="H128" s="230" t="str">
        <f ca="1">IF( ISNA( VLOOKUP( APIF_Import!$O128 &amp; APIF_Import!$H$1,Podesavanja!$AA$3:$AD$28, 4, 0)), "", VLOOKUP( APIF_Import!$C128, INDIRECT( "Lookup_" &amp; APIF_Import!$O128), VLOOKUP( APIF_Import!$O128 &amp; APIF_Import!$H$1,Podesavanja!$AA$3:$AD$28, 4, 0), 0))</f>
        <v/>
      </c>
      <c r="I128" s="230" t="str">
        <f ca="1">IF( ISNA( VLOOKUP( APIF_Import!$O128 &amp; APIF_Import!$I$1,Podesavanja!$AA$3:$AD$28, 4, 0)), "", VLOOKUP( APIF_Import!$C128, INDIRECT( "Lookup_" &amp; APIF_Import!$M128:$O128), VLOOKUP( APIF_Import!$O128 &amp; APIF_Import!$I$1,Podesavanja!$AA$3:$AD$28, 4, 0), 0))</f>
        <v/>
      </c>
      <c r="J128" s="230" t="str">
        <f ca="1">IF( ISNA( VLOOKUP( APIF_Import!$O128 &amp; APIF_Import!$J$1,Podesavanja!$AA$3:$AD$28, 4, 0)), "", VLOOKUP( APIF_Import!$C128, INDIRECT( "Lookup_" &amp; APIF_Import!$M128:$O128), VLOOKUP( APIF_Import!$O128 &amp; APIF_Import!$J$1,Podesavanja!$AA$3:$AD$28, 4, 0), 0))</f>
        <v/>
      </c>
      <c r="K128" s="230" t="str">
        <f ca="1">IF( ISNA( VLOOKUP( APIF_Import!$O128 &amp; APIF_Import!$K$1,Podesavanja!$AA$3:$AD$28, 4, 0)), "", VLOOKUP( APIF_Import!$C128, INDIRECT( "Lookup_" &amp; APIF_Import!$M128:$O128), VLOOKUP( APIF_Import!$O128 &amp; APIF_Import!$K$1,Podesavanja!$AA$3:$AD$28, 4, 0), 0))</f>
        <v/>
      </c>
      <c r="L128" s="230" t="str">
        <f ca="1">IF( ISNA( VLOOKUP( APIF_Import!$O128 &amp; APIF_Import!$L$1,Podesavanja!$AA$3:$AD$28, 4, 0)), "", VLOOKUP( APIF_Import!$C128, INDIRECT( "Lookup_" &amp; APIF_Import!$M128:$O128), VLOOKUP( APIF_Import!$O128 &amp; APIF_Import!$L$1,Podesavanja!$AA$3:$AD$28, 4, 0), 0))</f>
        <v/>
      </c>
      <c r="M128" s="230" t="str">
        <f ca="1">IF( ISNA( VLOOKUP( APIF_Import!$O128 &amp; APIF_Import!$M$1,Podesavanja!$AA$3:$AD$28, 4, 0)), "", VLOOKUP( APIF_Import!$C128, INDIRECT( "Lookup_" &amp; APIF_Import!$M128:$O128), VLOOKUP( APIF_Import!$O128 &amp; APIF_Import!$M$1,Podesavanja!$AA$3:$AD$28, 4, 0), 0))</f>
        <v/>
      </c>
      <c r="N128" s="8">
        <v>127</v>
      </c>
      <c r="O128" s="230" t="s">
        <v>2896</v>
      </c>
    </row>
    <row r="129" spans="2:15">
      <c r="B129" s="44">
        <f ca="1">VLOOKUP( APIF_Import!$O129, Podesavanja!$N$3:$Q$9, 4, 0)</f>
        <v>2</v>
      </c>
      <c r="C129" s="229">
        <f ca="1">VLOOKUP( APIF_Import!$N129, Aop!$A$2:$P$456, 4, 0)</f>
        <v>161</v>
      </c>
      <c r="D129" s="230" t="str">
        <f ca="1">IF( ISNA( VLOOKUP( APIF_Import!$O129 &amp; APIF_Import!$D$1,Podesavanja!$AA$3:$AD$28, 4, 0)), "", SUBSTITUTE( VALUE( VLOOKUP( APIF_Import!$C129, INDIRECT( "Lookup_" &amp; APIF_Import!$O129), VLOOKUP( APIF_Import!$O129 &amp; APIF_Import!$D$1,Podesavanja!$AA$3:$AD$28, 4, 0), 0)), ".", ","))</f>
        <v>0</v>
      </c>
      <c r="E129" s="230">
        <f ca="1">IF( ISNA( VLOOKUP( APIF_Import!$O129 &amp; APIF_Import!$E$1,Podesavanja!$AA$3:$AD$28, 4, 0)), "", VLOOKUP( APIF_Import!$C129, INDIRECT( "Lookup_" &amp; APIF_Import!$O129), VLOOKUP( APIF_Import!$O129 &amp; APIF_Import!$E$1,Podesavanja!$AA$3:$AD$28, 4, 0), 0))</f>
        <v>0</v>
      </c>
      <c r="F129" s="230" t="str">
        <f ca="1">IF( ISNA( VLOOKUP( APIF_Import!$O129 &amp; APIF_Import!$F$1,Podesavanja!$AA$3:$AD$28, 4, 0)), "", VLOOKUP( APIF_Import!$C129, INDIRECT( "Lookup_" &amp; APIF_Import!$O129), VLOOKUP( APIF_Import!$O129 &amp; APIF_Import!$F$1,Podesavanja!$AA$3:$AD$28, 4, 0), 0))</f>
        <v/>
      </c>
      <c r="G129" s="230" t="str">
        <f ca="1">IF( ISNA( VLOOKUP( APIF_Import!$O129 &amp; APIF_Import!$G$1,Podesavanja!$AA$3:$AD$28, 4, 0)), "", VLOOKUP( APIF_Import!$C129, INDIRECT( "Lookup_" &amp; APIF_Import!$O129), VLOOKUP( APIF_Import!$O129 &amp; APIF_Import!$G$1,Podesavanja!$AA$3:$AD$28, 4, 0), 0))</f>
        <v/>
      </c>
      <c r="H129" s="230" t="str">
        <f ca="1">IF( ISNA( VLOOKUP( APIF_Import!$O129 &amp; APIF_Import!$H$1,Podesavanja!$AA$3:$AD$28, 4, 0)), "", VLOOKUP( APIF_Import!$C129, INDIRECT( "Lookup_" &amp; APIF_Import!$O129), VLOOKUP( APIF_Import!$O129 &amp; APIF_Import!$H$1,Podesavanja!$AA$3:$AD$28, 4, 0), 0))</f>
        <v/>
      </c>
      <c r="I129" s="230" t="str">
        <f ca="1">IF( ISNA( VLOOKUP( APIF_Import!$O129 &amp; APIF_Import!$I$1,Podesavanja!$AA$3:$AD$28, 4, 0)), "", VLOOKUP( APIF_Import!$C129, INDIRECT( "Lookup_" &amp; APIF_Import!$M129:$O129), VLOOKUP( APIF_Import!$O129 &amp; APIF_Import!$I$1,Podesavanja!$AA$3:$AD$28, 4, 0), 0))</f>
        <v/>
      </c>
      <c r="J129" s="230" t="str">
        <f ca="1">IF( ISNA( VLOOKUP( APIF_Import!$O129 &amp; APIF_Import!$J$1,Podesavanja!$AA$3:$AD$28, 4, 0)), "", VLOOKUP( APIF_Import!$C129, INDIRECT( "Lookup_" &amp; APIF_Import!$M129:$O129), VLOOKUP( APIF_Import!$O129 &amp; APIF_Import!$J$1,Podesavanja!$AA$3:$AD$28, 4, 0), 0))</f>
        <v/>
      </c>
      <c r="K129" s="230" t="str">
        <f ca="1">IF( ISNA( VLOOKUP( APIF_Import!$O129 &amp; APIF_Import!$K$1,Podesavanja!$AA$3:$AD$28, 4, 0)), "", VLOOKUP( APIF_Import!$C129, INDIRECT( "Lookup_" &amp; APIF_Import!$M129:$O129), VLOOKUP( APIF_Import!$O129 &amp; APIF_Import!$K$1,Podesavanja!$AA$3:$AD$28, 4, 0), 0))</f>
        <v/>
      </c>
      <c r="L129" s="230" t="str">
        <f ca="1">IF( ISNA( VLOOKUP( APIF_Import!$O129 &amp; APIF_Import!$L$1,Podesavanja!$AA$3:$AD$28, 4, 0)), "", VLOOKUP( APIF_Import!$C129, INDIRECT( "Lookup_" &amp; APIF_Import!$M129:$O129), VLOOKUP( APIF_Import!$O129 &amp; APIF_Import!$L$1,Podesavanja!$AA$3:$AD$28, 4, 0), 0))</f>
        <v/>
      </c>
      <c r="M129" s="230" t="str">
        <f ca="1">IF( ISNA( VLOOKUP( APIF_Import!$O129 &amp; APIF_Import!$M$1,Podesavanja!$AA$3:$AD$28, 4, 0)), "", VLOOKUP( APIF_Import!$C129, INDIRECT( "Lookup_" &amp; APIF_Import!$M129:$O129), VLOOKUP( APIF_Import!$O129 &amp; APIF_Import!$M$1,Podesavanja!$AA$3:$AD$28, 4, 0), 0))</f>
        <v/>
      </c>
      <c r="N129" s="8">
        <v>128</v>
      </c>
      <c r="O129" s="230" t="s">
        <v>2896</v>
      </c>
    </row>
    <row r="130" spans="2:15">
      <c r="B130" s="44">
        <f ca="1">VLOOKUP( APIF_Import!$O130, Podesavanja!$N$3:$Q$9, 4, 0)</f>
        <v>2</v>
      </c>
      <c r="C130" s="229">
        <f ca="1">VLOOKUP( APIF_Import!$N130, Aop!$A$2:$P$456, 4, 0)</f>
        <v>162</v>
      </c>
      <c r="D130" s="230" t="str">
        <f ca="1">IF( ISNA( VLOOKUP( APIF_Import!$O130 &amp; APIF_Import!$D$1,Podesavanja!$AA$3:$AD$28, 4, 0)), "", SUBSTITUTE( VALUE( VLOOKUP( APIF_Import!$C130, INDIRECT( "Lookup_" &amp; APIF_Import!$O130), VLOOKUP( APIF_Import!$O130 &amp; APIF_Import!$D$1,Podesavanja!$AA$3:$AD$28, 4, 0), 0)), ".", ","))</f>
        <v>99603</v>
      </c>
      <c r="E130" s="230">
        <f ca="1">IF( ISNA( VLOOKUP( APIF_Import!$O130 &amp; APIF_Import!$E$1,Podesavanja!$AA$3:$AD$28, 4, 0)), "", VLOOKUP( APIF_Import!$C130, INDIRECT( "Lookup_" &amp; APIF_Import!$O130), VLOOKUP( APIF_Import!$O130 &amp; APIF_Import!$E$1,Podesavanja!$AA$3:$AD$28, 4, 0), 0))</f>
        <v>68678</v>
      </c>
      <c r="F130" s="230" t="str">
        <f ca="1">IF( ISNA( VLOOKUP( APIF_Import!$O130 &amp; APIF_Import!$F$1,Podesavanja!$AA$3:$AD$28, 4, 0)), "", VLOOKUP( APIF_Import!$C130, INDIRECT( "Lookup_" &amp; APIF_Import!$O130), VLOOKUP( APIF_Import!$O130 &amp; APIF_Import!$F$1,Podesavanja!$AA$3:$AD$28, 4, 0), 0))</f>
        <v/>
      </c>
      <c r="G130" s="230" t="str">
        <f ca="1">IF( ISNA( VLOOKUP( APIF_Import!$O130 &amp; APIF_Import!$G$1,Podesavanja!$AA$3:$AD$28, 4, 0)), "", VLOOKUP( APIF_Import!$C130, INDIRECT( "Lookup_" &amp; APIF_Import!$O130), VLOOKUP( APIF_Import!$O130 &amp; APIF_Import!$G$1,Podesavanja!$AA$3:$AD$28, 4, 0), 0))</f>
        <v/>
      </c>
      <c r="H130" s="230" t="str">
        <f ca="1">IF( ISNA( VLOOKUP( APIF_Import!$O130 &amp; APIF_Import!$H$1,Podesavanja!$AA$3:$AD$28, 4, 0)), "", VLOOKUP( APIF_Import!$C130, INDIRECT( "Lookup_" &amp; APIF_Import!$O130), VLOOKUP( APIF_Import!$O130 &amp; APIF_Import!$H$1,Podesavanja!$AA$3:$AD$28, 4, 0), 0))</f>
        <v/>
      </c>
      <c r="I130" s="230" t="str">
        <f ca="1">IF( ISNA( VLOOKUP( APIF_Import!$O130 &amp; APIF_Import!$I$1,Podesavanja!$AA$3:$AD$28, 4, 0)), "", VLOOKUP( APIF_Import!$C130, INDIRECT( "Lookup_" &amp; APIF_Import!$M130:$O130), VLOOKUP( APIF_Import!$O130 &amp; APIF_Import!$I$1,Podesavanja!$AA$3:$AD$28, 4, 0), 0))</f>
        <v/>
      </c>
      <c r="J130" s="230" t="str">
        <f ca="1">IF( ISNA( VLOOKUP( APIF_Import!$O130 &amp; APIF_Import!$J$1,Podesavanja!$AA$3:$AD$28, 4, 0)), "", VLOOKUP( APIF_Import!$C130, INDIRECT( "Lookup_" &amp; APIF_Import!$M130:$O130), VLOOKUP( APIF_Import!$O130 &amp; APIF_Import!$J$1,Podesavanja!$AA$3:$AD$28, 4, 0), 0))</f>
        <v/>
      </c>
      <c r="K130" s="230" t="str">
        <f ca="1">IF( ISNA( VLOOKUP( APIF_Import!$O130 &amp; APIF_Import!$K$1,Podesavanja!$AA$3:$AD$28, 4, 0)), "", VLOOKUP( APIF_Import!$C130, INDIRECT( "Lookup_" &amp; APIF_Import!$M130:$O130), VLOOKUP( APIF_Import!$O130 &amp; APIF_Import!$K$1,Podesavanja!$AA$3:$AD$28, 4, 0), 0))</f>
        <v/>
      </c>
      <c r="L130" s="230" t="str">
        <f ca="1">IF( ISNA( VLOOKUP( APIF_Import!$O130 &amp; APIF_Import!$L$1,Podesavanja!$AA$3:$AD$28, 4, 0)), "", VLOOKUP( APIF_Import!$C130, INDIRECT( "Lookup_" &amp; APIF_Import!$M130:$O130), VLOOKUP( APIF_Import!$O130 &amp; APIF_Import!$L$1,Podesavanja!$AA$3:$AD$28, 4, 0), 0))</f>
        <v/>
      </c>
      <c r="M130" s="230" t="str">
        <f ca="1">IF( ISNA( VLOOKUP( APIF_Import!$O130 &amp; APIF_Import!$M$1,Podesavanja!$AA$3:$AD$28, 4, 0)), "", VLOOKUP( APIF_Import!$C130, INDIRECT( "Lookup_" &amp; APIF_Import!$M130:$O130), VLOOKUP( APIF_Import!$O130 &amp; APIF_Import!$M$1,Podesavanja!$AA$3:$AD$28, 4, 0), 0))</f>
        <v/>
      </c>
      <c r="N130" s="8">
        <v>129</v>
      </c>
      <c r="O130" s="230" t="s">
        <v>2896</v>
      </c>
    </row>
    <row r="131" spans="2:15">
      <c r="B131" s="44">
        <f ca="1">VLOOKUP( APIF_Import!$O131, Podesavanja!$N$3:$Q$9, 4, 0)</f>
        <v>2</v>
      </c>
      <c r="C131" s="229">
        <f ca="1">VLOOKUP( APIF_Import!$N131, Aop!$A$2:$P$456, 4, 0)</f>
        <v>163</v>
      </c>
      <c r="D131" s="230" t="str">
        <f ca="1">IF( ISNA( VLOOKUP( APIF_Import!$O131 &amp; APIF_Import!$D$1,Podesavanja!$AA$3:$AD$28, 4, 0)), "", SUBSTITUTE( VALUE( VLOOKUP( APIF_Import!$C131, INDIRECT( "Lookup_" &amp; APIF_Import!$O131), VLOOKUP( APIF_Import!$O131 &amp; APIF_Import!$D$1,Podesavanja!$AA$3:$AD$28, 4, 0), 0)), ".", ","))</f>
        <v>645017</v>
      </c>
      <c r="E131" s="230">
        <f ca="1">IF( ISNA( VLOOKUP( APIF_Import!$O131 &amp; APIF_Import!$E$1,Podesavanja!$AA$3:$AD$28, 4, 0)), "", VLOOKUP( APIF_Import!$C131, INDIRECT( "Lookup_" &amp; APIF_Import!$O131), VLOOKUP( APIF_Import!$O131 &amp; APIF_Import!$E$1,Podesavanja!$AA$3:$AD$28, 4, 0), 0))</f>
        <v>2272</v>
      </c>
      <c r="F131" s="230" t="str">
        <f ca="1">IF( ISNA( VLOOKUP( APIF_Import!$O131 &amp; APIF_Import!$F$1,Podesavanja!$AA$3:$AD$28, 4, 0)), "", VLOOKUP( APIF_Import!$C131, INDIRECT( "Lookup_" &amp; APIF_Import!$O131), VLOOKUP( APIF_Import!$O131 &amp; APIF_Import!$F$1,Podesavanja!$AA$3:$AD$28, 4, 0), 0))</f>
        <v/>
      </c>
      <c r="G131" s="230" t="str">
        <f ca="1">IF( ISNA( VLOOKUP( APIF_Import!$O131 &amp; APIF_Import!$G$1,Podesavanja!$AA$3:$AD$28, 4, 0)), "", VLOOKUP( APIF_Import!$C131, INDIRECT( "Lookup_" &amp; APIF_Import!$O131), VLOOKUP( APIF_Import!$O131 &amp; APIF_Import!$G$1,Podesavanja!$AA$3:$AD$28, 4, 0), 0))</f>
        <v/>
      </c>
      <c r="H131" s="230" t="str">
        <f ca="1">IF( ISNA( VLOOKUP( APIF_Import!$O131 &amp; APIF_Import!$H$1,Podesavanja!$AA$3:$AD$28, 4, 0)), "", VLOOKUP( APIF_Import!$C131, INDIRECT( "Lookup_" &amp; APIF_Import!$O131), VLOOKUP( APIF_Import!$O131 &amp; APIF_Import!$H$1,Podesavanja!$AA$3:$AD$28, 4, 0), 0))</f>
        <v/>
      </c>
      <c r="I131" s="230" t="str">
        <f ca="1">IF( ISNA( VLOOKUP( APIF_Import!$O131 &amp; APIF_Import!$I$1,Podesavanja!$AA$3:$AD$28, 4, 0)), "", VLOOKUP( APIF_Import!$C131, INDIRECT( "Lookup_" &amp; APIF_Import!$M131:$O131), VLOOKUP( APIF_Import!$O131 &amp; APIF_Import!$I$1,Podesavanja!$AA$3:$AD$28, 4, 0), 0))</f>
        <v/>
      </c>
      <c r="J131" s="230" t="str">
        <f ca="1">IF( ISNA( VLOOKUP( APIF_Import!$O131 &amp; APIF_Import!$J$1,Podesavanja!$AA$3:$AD$28, 4, 0)), "", VLOOKUP( APIF_Import!$C131, INDIRECT( "Lookup_" &amp; APIF_Import!$M131:$O131), VLOOKUP( APIF_Import!$O131 &amp; APIF_Import!$J$1,Podesavanja!$AA$3:$AD$28, 4, 0), 0))</f>
        <v/>
      </c>
      <c r="K131" s="230" t="str">
        <f ca="1">IF( ISNA( VLOOKUP( APIF_Import!$O131 &amp; APIF_Import!$K$1,Podesavanja!$AA$3:$AD$28, 4, 0)), "", VLOOKUP( APIF_Import!$C131, INDIRECT( "Lookup_" &amp; APIF_Import!$M131:$O131), VLOOKUP( APIF_Import!$O131 &amp; APIF_Import!$K$1,Podesavanja!$AA$3:$AD$28, 4, 0), 0))</f>
        <v/>
      </c>
      <c r="L131" s="230" t="str">
        <f ca="1">IF( ISNA( VLOOKUP( APIF_Import!$O131 &amp; APIF_Import!$L$1,Podesavanja!$AA$3:$AD$28, 4, 0)), "", VLOOKUP( APIF_Import!$C131, INDIRECT( "Lookup_" &amp; APIF_Import!$M131:$O131), VLOOKUP( APIF_Import!$O131 &amp; APIF_Import!$L$1,Podesavanja!$AA$3:$AD$28, 4, 0), 0))</f>
        <v/>
      </c>
      <c r="M131" s="230" t="str">
        <f ca="1">IF( ISNA( VLOOKUP( APIF_Import!$O131 &amp; APIF_Import!$M$1,Podesavanja!$AA$3:$AD$28, 4, 0)), "", VLOOKUP( APIF_Import!$C131, INDIRECT( "Lookup_" &amp; APIF_Import!$M131:$O131), VLOOKUP( APIF_Import!$O131 &amp; APIF_Import!$M$1,Podesavanja!$AA$3:$AD$28, 4, 0), 0))</f>
        <v/>
      </c>
      <c r="N131" s="8">
        <v>130</v>
      </c>
      <c r="O131" s="230" t="s">
        <v>2896</v>
      </c>
    </row>
    <row r="132" spans="2:15">
      <c r="B132" s="44">
        <f ca="1">VLOOKUP( APIF_Import!$O132, Podesavanja!$N$3:$Q$9, 4, 0)</f>
        <v>2</v>
      </c>
      <c r="C132" s="229">
        <f ca="1">VLOOKUP( APIF_Import!$N132, Aop!$A$2:$P$456, 4, 0)</f>
        <v>164</v>
      </c>
      <c r="D132" s="230" t="str">
        <f ca="1">IF( ISNA( VLOOKUP( APIF_Import!$O132 &amp; APIF_Import!$D$1,Podesavanja!$AA$3:$AD$28, 4, 0)), "", SUBSTITUTE( VALUE( VLOOKUP( APIF_Import!$C132, INDIRECT( "Lookup_" &amp; APIF_Import!$O132), VLOOKUP( APIF_Import!$O132 &amp; APIF_Import!$D$1,Podesavanja!$AA$3:$AD$28, 4, 0), 0)), ".", ","))</f>
        <v>0</v>
      </c>
      <c r="E132" s="230">
        <f ca="1">IF( ISNA( VLOOKUP( APIF_Import!$O132 &amp; APIF_Import!$E$1,Podesavanja!$AA$3:$AD$28, 4, 0)), "", VLOOKUP( APIF_Import!$C132, INDIRECT( "Lookup_" &amp; APIF_Import!$O132), VLOOKUP( APIF_Import!$O132 &amp; APIF_Import!$E$1,Podesavanja!$AA$3:$AD$28, 4, 0), 0))</f>
        <v>0</v>
      </c>
      <c r="F132" s="230" t="str">
        <f ca="1">IF( ISNA( VLOOKUP( APIF_Import!$O132 &amp; APIF_Import!$F$1,Podesavanja!$AA$3:$AD$28, 4, 0)), "", VLOOKUP( APIF_Import!$C132, INDIRECT( "Lookup_" &amp; APIF_Import!$O132), VLOOKUP( APIF_Import!$O132 &amp; APIF_Import!$F$1,Podesavanja!$AA$3:$AD$28, 4, 0), 0))</f>
        <v/>
      </c>
      <c r="G132" s="230" t="str">
        <f ca="1">IF( ISNA( VLOOKUP( APIF_Import!$O132 &amp; APIF_Import!$G$1,Podesavanja!$AA$3:$AD$28, 4, 0)), "", VLOOKUP( APIF_Import!$C132, INDIRECT( "Lookup_" &amp; APIF_Import!$O132), VLOOKUP( APIF_Import!$O132 &amp; APIF_Import!$G$1,Podesavanja!$AA$3:$AD$28, 4, 0), 0))</f>
        <v/>
      </c>
      <c r="H132" s="230" t="str">
        <f ca="1">IF( ISNA( VLOOKUP( APIF_Import!$O132 &amp; APIF_Import!$H$1,Podesavanja!$AA$3:$AD$28, 4, 0)), "", VLOOKUP( APIF_Import!$C132, INDIRECT( "Lookup_" &amp; APIF_Import!$O132), VLOOKUP( APIF_Import!$O132 &amp; APIF_Import!$H$1,Podesavanja!$AA$3:$AD$28, 4, 0), 0))</f>
        <v/>
      </c>
      <c r="I132" s="230" t="str">
        <f ca="1">IF( ISNA( VLOOKUP( APIF_Import!$O132 &amp; APIF_Import!$I$1,Podesavanja!$AA$3:$AD$28, 4, 0)), "", VLOOKUP( APIF_Import!$C132, INDIRECT( "Lookup_" &amp; APIF_Import!$M132:$O132), VLOOKUP( APIF_Import!$O132 &amp; APIF_Import!$I$1,Podesavanja!$AA$3:$AD$28, 4, 0), 0))</f>
        <v/>
      </c>
      <c r="J132" s="230" t="str">
        <f ca="1">IF( ISNA( VLOOKUP( APIF_Import!$O132 &amp; APIF_Import!$J$1,Podesavanja!$AA$3:$AD$28, 4, 0)), "", VLOOKUP( APIF_Import!$C132, INDIRECT( "Lookup_" &amp; APIF_Import!$M132:$O132), VLOOKUP( APIF_Import!$O132 &amp; APIF_Import!$J$1,Podesavanja!$AA$3:$AD$28, 4, 0), 0))</f>
        <v/>
      </c>
      <c r="K132" s="230" t="str">
        <f ca="1">IF( ISNA( VLOOKUP( APIF_Import!$O132 &amp; APIF_Import!$K$1,Podesavanja!$AA$3:$AD$28, 4, 0)), "", VLOOKUP( APIF_Import!$C132, INDIRECT( "Lookup_" &amp; APIF_Import!$M132:$O132), VLOOKUP( APIF_Import!$O132 &amp; APIF_Import!$K$1,Podesavanja!$AA$3:$AD$28, 4, 0), 0))</f>
        <v/>
      </c>
      <c r="L132" s="230" t="str">
        <f ca="1">IF( ISNA( VLOOKUP( APIF_Import!$O132 &amp; APIF_Import!$L$1,Podesavanja!$AA$3:$AD$28, 4, 0)), "", VLOOKUP( APIF_Import!$C132, INDIRECT( "Lookup_" &amp; APIF_Import!$M132:$O132), VLOOKUP( APIF_Import!$O132 &amp; APIF_Import!$L$1,Podesavanja!$AA$3:$AD$28, 4, 0), 0))</f>
        <v/>
      </c>
      <c r="M132" s="230" t="str">
        <f ca="1">IF( ISNA( VLOOKUP( APIF_Import!$O132 &amp; APIF_Import!$M$1,Podesavanja!$AA$3:$AD$28, 4, 0)), "", VLOOKUP( APIF_Import!$C132, INDIRECT( "Lookup_" &amp; APIF_Import!$M132:$O132), VLOOKUP( APIF_Import!$O132 &amp; APIF_Import!$M$1,Podesavanja!$AA$3:$AD$28, 4, 0), 0))</f>
        <v/>
      </c>
      <c r="N132" s="8">
        <v>131</v>
      </c>
      <c r="O132" s="230" t="s">
        <v>2896</v>
      </c>
    </row>
    <row r="133" spans="2:15">
      <c r="B133" s="44">
        <f ca="1">VLOOKUP( APIF_Import!$O133, Podesavanja!$N$3:$Q$9, 4, 0)</f>
        <v>2</v>
      </c>
      <c r="C133" s="229">
        <f ca="1">VLOOKUP( APIF_Import!$N133, Aop!$A$2:$P$456, 4, 0)</f>
        <v>165</v>
      </c>
      <c r="D133" s="230" t="str">
        <f ca="1">IF( ISNA( VLOOKUP( APIF_Import!$O133 &amp; APIF_Import!$D$1,Podesavanja!$AA$3:$AD$28, 4, 0)), "", SUBSTITUTE( VALUE( VLOOKUP( APIF_Import!$C133, INDIRECT( "Lookup_" &amp; APIF_Import!$O133), VLOOKUP( APIF_Import!$O133 &amp; APIF_Import!$D$1,Podesavanja!$AA$3:$AD$28, 4, 0), 0)), ".", ","))</f>
        <v>18700</v>
      </c>
      <c r="E133" s="230">
        <f ca="1">IF( ISNA( VLOOKUP( APIF_Import!$O133 &amp; APIF_Import!$E$1,Podesavanja!$AA$3:$AD$28, 4, 0)), "", VLOOKUP( APIF_Import!$C133, INDIRECT( "Lookup_" &amp; APIF_Import!$O133), VLOOKUP( APIF_Import!$O133 &amp; APIF_Import!$E$1,Podesavanja!$AA$3:$AD$28, 4, 0), 0))</f>
        <v>14156</v>
      </c>
      <c r="F133" s="230" t="str">
        <f ca="1">IF( ISNA( VLOOKUP( APIF_Import!$O133 &amp; APIF_Import!$F$1,Podesavanja!$AA$3:$AD$28, 4, 0)), "", VLOOKUP( APIF_Import!$C133, INDIRECT( "Lookup_" &amp; APIF_Import!$O133), VLOOKUP( APIF_Import!$O133 &amp; APIF_Import!$F$1,Podesavanja!$AA$3:$AD$28, 4, 0), 0))</f>
        <v/>
      </c>
      <c r="G133" s="230" t="str">
        <f ca="1">IF( ISNA( VLOOKUP( APIF_Import!$O133 &amp; APIF_Import!$G$1,Podesavanja!$AA$3:$AD$28, 4, 0)), "", VLOOKUP( APIF_Import!$C133, INDIRECT( "Lookup_" &amp; APIF_Import!$O133), VLOOKUP( APIF_Import!$O133 &amp; APIF_Import!$G$1,Podesavanja!$AA$3:$AD$28, 4, 0), 0))</f>
        <v/>
      </c>
      <c r="H133" s="230" t="str">
        <f ca="1">IF( ISNA( VLOOKUP( APIF_Import!$O133 &amp; APIF_Import!$H$1,Podesavanja!$AA$3:$AD$28, 4, 0)), "", VLOOKUP( APIF_Import!$C133, INDIRECT( "Lookup_" &amp; APIF_Import!$O133), VLOOKUP( APIF_Import!$O133 &amp; APIF_Import!$H$1,Podesavanja!$AA$3:$AD$28, 4, 0), 0))</f>
        <v/>
      </c>
      <c r="I133" s="230" t="str">
        <f ca="1">IF( ISNA( VLOOKUP( APIF_Import!$O133 &amp; APIF_Import!$I$1,Podesavanja!$AA$3:$AD$28, 4, 0)), "", VLOOKUP( APIF_Import!$C133, INDIRECT( "Lookup_" &amp; APIF_Import!$M133:$O133), VLOOKUP( APIF_Import!$O133 &amp; APIF_Import!$I$1,Podesavanja!$AA$3:$AD$28, 4, 0), 0))</f>
        <v/>
      </c>
      <c r="J133" s="230" t="str">
        <f ca="1">IF( ISNA( VLOOKUP( APIF_Import!$O133 &amp; APIF_Import!$J$1,Podesavanja!$AA$3:$AD$28, 4, 0)), "", VLOOKUP( APIF_Import!$C133, INDIRECT( "Lookup_" &amp; APIF_Import!$M133:$O133), VLOOKUP( APIF_Import!$O133 &amp; APIF_Import!$J$1,Podesavanja!$AA$3:$AD$28, 4, 0), 0))</f>
        <v/>
      </c>
      <c r="K133" s="230" t="str">
        <f ca="1">IF( ISNA( VLOOKUP( APIF_Import!$O133 &amp; APIF_Import!$K$1,Podesavanja!$AA$3:$AD$28, 4, 0)), "", VLOOKUP( APIF_Import!$C133, INDIRECT( "Lookup_" &amp; APIF_Import!$M133:$O133), VLOOKUP( APIF_Import!$O133 &amp; APIF_Import!$K$1,Podesavanja!$AA$3:$AD$28, 4, 0), 0))</f>
        <v/>
      </c>
      <c r="L133" s="230" t="str">
        <f ca="1">IF( ISNA( VLOOKUP( APIF_Import!$O133 &amp; APIF_Import!$L$1,Podesavanja!$AA$3:$AD$28, 4, 0)), "", VLOOKUP( APIF_Import!$C133, INDIRECT( "Lookup_" &amp; APIF_Import!$M133:$O133), VLOOKUP( APIF_Import!$O133 &amp; APIF_Import!$L$1,Podesavanja!$AA$3:$AD$28, 4, 0), 0))</f>
        <v/>
      </c>
      <c r="M133" s="230" t="str">
        <f ca="1">IF( ISNA( VLOOKUP( APIF_Import!$O133 &amp; APIF_Import!$M$1,Podesavanja!$AA$3:$AD$28, 4, 0)), "", VLOOKUP( APIF_Import!$C133, INDIRECT( "Lookup_" &amp; APIF_Import!$M133:$O133), VLOOKUP( APIF_Import!$O133 &amp; APIF_Import!$M$1,Podesavanja!$AA$3:$AD$28, 4, 0), 0))</f>
        <v/>
      </c>
      <c r="N133" s="8">
        <v>132</v>
      </c>
      <c r="O133" s="230" t="s">
        <v>2896</v>
      </c>
    </row>
    <row r="134" spans="2:15">
      <c r="B134" s="44">
        <f ca="1">VLOOKUP( APIF_Import!$O134, Podesavanja!$N$3:$Q$9, 4, 0)</f>
        <v>2</v>
      </c>
      <c r="C134" s="229">
        <f ca="1">VLOOKUP( APIF_Import!$N134, Aop!$A$2:$P$456, 4, 0)</f>
        <v>166</v>
      </c>
      <c r="D134" s="230" t="str">
        <f ca="1">IF( ISNA( VLOOKUP( APIF_Import!$O134 &amp; APIF_Import!$D$1,Podesavanja!$AA$3:$AD$28, 4, 0)), "", SUBSTITUTE( VALUE( VLOOKUP( APIF_Import!$C134, INDIRECT( "Lookup_" &amp; APIF_Import!$O134), VLOOKUP( APIF_Import!$O134 &amp; APIF_Import!$D$1,Podesavanja!$AA$3:$AD$28, 4, 0), 0)), ".", ","))</f>
        <v>0</v>
      </c>
      <c r="E134" s="230">
        <f ca="1">IF( ISNA( VLOOKUP( APIF_Import!$O134 &amp; APIF_Import!$E$1,Podesavanja!$AA$3:$AD$28, 4, 0)), "", VLOOKUP( APIF_Import!$C134, INDIRECT( "Lookup_" &amp; APIF_Import!$O134), VLOOKUP( APIF_Import!$O134 &amp; APIF_Import!$E$1,Podesavanja!$AA$3:$AD$28, 4, 0), 0))</f>
        <v>0</v>
      </c>
      <c r="F134" s="230" t="str">
        <f ca="1">IF( ISNA( VLOOKUP( APIF_Import!$O134 &amp; APIF_Import!$F$1,Podesavanja!$AA$3:$AD$28, 4, 0)), "", VLOOKUP( APIF_Import!$C134, INDIRECT( "Lookup_" &amp; APIF_Import!$O134), VLOOKUP( APIF_Import!$O134 &amp; APIF_Import!$F$1,Podesavanja!$AA$3:$AD$28, 4, 0), 0))</f>
        <v/>
      </c>
      <c r="G134" s="230" t="str">
        <f ca="1">IF( ISNA( VLOOKUP( APIF_Import!$O134 &amp; APIF_Import!$G$1,Podesavanja!$AA$3:$AD$28, 4, 0)), "", VLOOKUP( APIF_Import!$C134, INDIRECT( "Lookup_" &amp; APIF_Import!$O134), VLOOKUP( APIF_Import!$O134 &amp; APIF_Import!$G$1,Podesavanja!$AA$3:$AD$28, 4, 0), 0))</f>
        <v/>
      </c>
      <c r="H134" s="230" t="str">
        <f ca="1">IF( ISNA( VLOOKUP( APIF_Import!$O134 &amp; APIF_Import!$H$1,Podesavanja!$AA$3:$AD$28, 4, 0)), "", VLOOKUP( APIF_Import!$C134, INDIRECT( "Lookup_" &amp; APIF_Import!$O134), VLOOKUP( APIF_Import!$O134 &amp; APIF_Import!$H$1,Podesavanja!$AA$3:$AD$28, 4, 0), 0))</f>
        <v/>
      </c>
      <c r="I134" s="230" t="str">
        <f ca="1">IF( ISNA( VLOOKUP( APIF_Import!$O134 &amp; APIF_Import!$I$1,Podesavanja!$AA$3:$AD$28, 4, 0)), "", VLOOKUP( APIF_Import!$C134, INDIRECT( "Lookup_" &amp; APIF_Import!$M134:$O134), VLOOKUP( APIF_Import!$O134 &amp; APIF_Import!$I$1,Podesavanja!$AA$3:$AD$28, 4, 0), 0))</f>
        <v/>
      </c>
      <c r="J134" s="230" t="str">
        <f ca="1">IF( ISNA( VLOOKUP( APIF_Import!$O134 &amp; APIF_Import!$J$1,Podesavanja!$AA$3:$AD$28, 4, 0)), "", VLOOKUP( APIF_Import!$C134, INDIRECT( "Lookup_" &amp; APIF_Import!$M134:$O134), VLOOKUP( APIF_Import!$O134 &amp; APIF_Import!$J$1,Podesavanja!$AA$3:$AD$28, 4, 0), 0))</f>
        <v/>
      </c>
      <c r="K134" s="230" t="str">
        <f ca="1">IF( ISNA( VLOOKUP( APIF_Import!$O134 &amp; APIF_Import!$K$1,Podesavanja!$AA$3:$AD$28, 4, 0)), "", VLOOKUP( APIF_Import!$C134, INDIRECT( "Lookup_" &amp; APIF_Import!$M134:$O134), VLOOKUP( APIF_Import!$O134 &amp; APIF_Import!$K$1,Podesavanja!$AA$3:$AD$28, 4, 0), 0))</f>
        <v/>
      </c>
      <c r="L134" s="230" t="str">
        <f ca="1">IF( ISNA( VLOOKUP( APIF_Import!$O134 &amp; APIF_Import!$L$1,Podesavanja!$AA$3:$AD$28, 4, 0)), "", VLOOKUP( APIF_Import!$C134, INDIRECT( "Lookup_" &amp; APIF_Import!$M134:$O134), VLOOKUP( APIF_Import!$O134 &amp; APIF_Import!$L$1,Podesavanja!$AA$3:$AD$28, 4, 0), 0))</f>
        <v/>
      </c>
      <c r="M134" s="230" t="str">
        <f ca="1">IF( ISNA( VLOOKUP( APIF_Import!$O134 &amp; APIF_Import!$M$1,Podesavanja!$AA$3:$AD$28, 4, 0)), "", VLOOKUP( APIF_Import!$C134, INDIRECT( "Lookup_" &amp; APIF_Import!$M134:$O134), VLOOKUP( APIF_Import!$O134 &amp; APIF_Import!$M$1,Podesavanja!$AA$3:$AD$28, 4, 0), 0))</f>
        <v/>
      </c>
      <c r="N134" s="8">
        <v>133</v>
      </c>
      <c r="O134" s="230" t="s">
        <v>2896</v>
      </c>
    </row>
    <row r="135" spans="2:15">
      <c r="B135" s="44">
        <f ca="1">VLOOKUP( APIF_Import!$O135, Podesavanja!$N$3:$Q$9, 4, 0)</f>
        <v>2</v>
      </c>
      <c r="C135" s="229">
        <f ca="1">VLOOKUP( APIF_Import!$N135, Aop!$A$2:$P$456, 4, 0)</f>
        <v>167</v>
      </c>
      <c r="D135" s="230" t="str">
        <f ca="1">IF( ISNA( VLOOKUP( APIF_Import!$O135 &amp; APIF_Import!$D$1,Podesavanja!$AA$3:$AD$28, 4, 0)), "", SUBSTITUTE( VALUE( VLOOKUP( APIF_Import!$C135, INDIRECT( "Lookup_" &amp; APIF_Import!$O135), VLOOKUP( APIF_Import!$O135 &amp; APIF_Import!$D$1,Podesavanja!$AA$3:$AD$28, 4, 0), 0)), ".", ","))</f>
        <v>0</v>
      </c>
      <c r="E135" s="230">
        <f ca="1">IF( ISNA( VLOOKUP( APIF_Import!$O135 &amp; APIF_Import!$E$1,Podesavanja!$AA$3:$AD$28, 4, 0)), "", VLOOKUP( APIF_Import!$C135, INDIRECT( "Lookup_" &amp; APIF_Import!$O135), VLOOKUP( APIF_Import!$O135 &amp; APIF_Import!$E$1,Podesavanja!$AA$3:$AD$28, 4, 0), 0))</f>
        <v>0</v>
      </c>
      <c r="F135" s="230" t="str">
        <f ca="1">IF( ISNA( VLOOKUP( APIF_Import!$O135 &amp; APIF_Import!$F$1,Podesavanja!$AA$3:$AD$28, 4, 0)), "", VLOOKUP( APIF_Import!$C135, INDIRECT( "Lookup_" &amp; APIF_Import!$O135), VLOOKUP( APIF_Import!$O135 &amp; APIF_Import!$F$1,Podesavanja!$AA$3:$AD$28, 4, 0), 0))</f>
        <v/>
      </c>
      <c r="G135" s="230" t="str">
        <f ca="1">IF( ISNA( VLOOKUP( APIF_Import!$O135 &amp; APIF_Import!$G$1,Podesavanja!$AA$3:$AD$28, 4, 0)), "", VLOOKUP( APIF_Import!$C135, INDIRECT( "Lookup_" &amp; APIF_Import!$O135), VLOOKUP( APIF_Import!$O135 &amp; APIF_Import!$G$1,Podesavanja!$AA$3:$AD$28, 4, 0), 0))</f>
        <v/>
      </c>
      <c r="H135" s="230" t="str">
        <f ca="1">IF( ISNA( VLOOKUP( APIF_Import!$O135 &amp; APIF_Import!$H$1,Podesavanja!$AA$3:$AD$28, 4, 0)), "", VLOOKUP( APIF_Import!$C135, INDIRECT( "Lookup_" &amp; APIF_Import!$O135), VLOOKUP( APIF_Import!$O135 &amp; APIF_Import!$H$1,Podesavanja!$AA$3:$AD$28, 4, 0), 0))</f>
        <v/>
      </c>
      <c r="I135" s="230" t="str">
        <f ca="1">IF( ISNA( VLOOKUP( APIF_Import!$O135 &amp; APIF_Import!$I$1,Podesavanja!$AA$3:$AD$28, 4, 0)), "", VLOOKUP( APIF_Import!$C135, INDIRECT( "Lookup_" &amp; APIF_Import!$M135:$O135), VLOOKUP( APIF_Import!$O135 &amp; APIF_Import!$I$1,Podesavanja!$AA$3:$AD$28, 4, 0), 0))</f>
        <v/>
      </c>
      <c r="J135" s="230" t="str">
        <f ca="1">IF( ISNA( VLOOKUP( APIF_Import!$O135 &amp; APIF_Import!$J$1,Podesavanja!$AA$3:$AD$28, 4, 0)), "", VLOOKUP( APIF_Import!$C135, INDIRECT( "Lookup_" &amp; APIF_Import!$M135:$O135), VLOOKUP( APIF_Import!$O135 &amp; APIF_Import!$J$1,Podesavanja!$AA$3:$AD$28, 4, 0), 0))</f>
        <v/>
      </c>
      <c r="K135" s="230" t="str">
        <f ca="1">IF( ISNA( VLOOKUP( APIF_Import!$O135 &amp; APIF_Import!$K$1,Podesavanja!$AA$3:$AD$28, 4, 0)), "", VLOOKUP( APIF_Import!$C135, INDIRECT( "Lookup_" &amp; APIF_Import!$M135:$O135), VLOOKUP( APIF_Import!$O135 &amp; APIF_Import!$K$1,Podesavanja!$AA$3:$AD$28, 4, 0), 0))</f>
        <v/>
      </c>
      <c r="L135" s="230" t="str">
        <f ca="1">IF( ISNA( VLOOKUP( APIF_Import!$O135 &amp; APIF_Import!$L$1,Podesavanja!$AA$3:$AD$28, 4, 0)), "", VLOOKUP( APIF_Import!$C135, INDIRECT( "Lookup_" &amp; APIF_Import!$M135:$O135), VLOOKUP( APIF_Import!$O135 &amp; APIF_Import!$L$1,Podesavanja!$AA$3:$AD$28, 4, 0), 0))</f>
        <v/>
      </c>
      <c r="M135" s="230" t="str">
        <f ca="1">IF( ISNA( VLOOKUP( APIF_Import!$O135 &amp; APIF_Import!$M$1,Podesavanja!$AA$3:$AD$28, 4, 0)), "", VLOOKUP( APIF_Import!$C135, INDIRECT( "Lookup_" &amp; APIF_Import!$M135:$O135), VLOOKUP( APIF_Import!$O135 &amp; APIF_Import!$M$1,Podesavanja!$AA$3:$AD$28, 4, 0), 0))</f>
        <v/>
      </c>
      <c r="N135" s="8">
        <v>134</v>
      </c>
      <c r="O135" s="230" t="s">
        <v>2896</v>
      </c>
    </row>
    <row r="136" spans="2:15">
      <c r="B136" s="44">
        <f ca="1">VLOOKUP( APIF_Import!$O136, Podesavanja!$N$3:$Q$9, 4, 0)</f>
        <v>2</v>
      </c>
      <c r="C136" s="229">
        <f ca="1">VLOOKUP( APIF_Import!$N136, Aop!$A$2:$P$456, 4, 0)</f>
        <v>168</v>
      </c>
      <c r="D136" s="230" t="str">
        <f ca="1">IF( ISNA( VLOOKUP( APIF_Import!$O136 &amp; APIF_Import!$D$1,Podesavanja!$AA$3:$AD$28, 4, 0)), "", SUBSTITUTE( VALUE( VLOOKUP( APIF_Import!$C136, INDIRECT( "Lookup_" &amp; APIF_Import!$O136), VLOOKUP( APIF_Import!$O136 &amp; APIF_Import!$D$1,Podesavanja!$AA$3:$AD$28, 4, 0), 0)), ".", ","))</f>
        <v>0</v>
      </c>
      <c r="E136" s="230">
        <f ca="1">IF( ISNA( VLOOKUP( APIF_Import!$O136 &amp; APIF_Import!$E$1,Podesavanja!$AA$3:$AD$28, 4, 0)), "", VLOOKUP( APIF_Import!$C136, INDIRECT( "Lookup_" &amp; APIF_Import!$O136), VLOOKUP( APIF_Import!$O136 &amp; APIF_Import!$E$1,Podesavanja!$AA$3:$AD$28, 4, 0), 0))</f>
        <v>0</v>
      </c>
      <c r="F136" s="230" t="str">
        <f ca="1">IF( ISNA( VLOOKUP( APIF_Import!$O136 &amp; APIF_Import!$F$1,Podesavanja!$AA$3:$AD$28, 4, 0)), "", VLOOKUP( APIF_Import!$C136, INDIRECT( "Lookup_" &amp; APIF_Import!$O136), VLOOKUP( APIF_Import!$O136 &amp; APIF_Import!$F$1,Podesavanja!$AA$3:$AD$28, 4, 0), 0))</f>
        <v/>
      </c>
      <c r="G136" s="230" t="str">
        <f ca="1">IF( ISNA( VLOOKUP( APIF_Import!$O136 &amp; APIF_Import!$G$1,Podesavanja!$AA$3:$AD$28, 4, 0)), "", VLOOKUP( APIF_Import!$C136, INDIRECT( "Lookup_" &amp; APIF_Import!$O136), VLOOKUP( APIF_Import!$O136 &amp; APIF_Import!$G$1,Podesavanja!$AA$3:$AD$28, 4, 0), 0))</f>
        <v/>
      </c>
      <c r="H136" s="230" t="str">
        <f ca="1">IF( ISNA( VLOOKUP( APIF_Import!$O136 &amp; APIF_Import!$H$1,Podesavanja!$AA$3:$AD$28, 4, 0)), "", VLOOKUP( APIF_Import!$C136, INDIRECT( "Lookup_" &amp; APIF_Import!$O136), VLOOKUP( APIF_Import!$O136 &amp; APIF_Import!$H$1,Podesavanja!$AA$3:$AD$28, 4, 0), 0))</f>
        <v/>
      </c>
      <c r="I136" s="230" t="str">
        <f ca="1">IF( ISNA( VLOOKUP( APIF_Import!$O136 &amp; APIF_Import!$I$1,Podesavanja!$AA$3:$AD$28, 4, 0)), "", VLOOKUP( APIF_Import!$C136, INDIRECT( "Lookup_" &amp; APIF_Import!$M136:$O136), VLOOKUP( APIF_Import!$O136 &amp; APIF_Import!$I$1,Podesavanja!$AA$3:$AD$28, 4, 0), 0))</f>
        <v/>
      </c>
      <c r="J136" s="230" t="str">
        <f ca="1">IF( ISNA( VLOOKUP( APIF_Import!$O136 &amp; APIF_Import!$J$1,Podesavanja!$AA$3:$AD$28, 4, 0)), "", VLOOKUP( APIF_Import!$C136, INDIRECT( "Lookup_" &amp; APIF_Import!$M136:$O136), VLOOKUP( APIF_Import!$O136 &amp; APIF_Import!$J$1,Podesavanja!$AA$3:$AD$28, 4, 0), 0))</f>
        <v/>
      </c>
      <c r="K136" s="230" t="str">
        <f ca="1">IF( ISNA( VLOOKUP( APIF_Import!$O136 &amp; APIF_Import!$K$1,Podesavanja!$AA$3:$AD$28, 4, 0)), "", VLOOKUP( APIF_Import!$C136, INDIRECT( "Lookup_" &amp; APIF_Import!$M136:$O136), VLOOKUP( APIF_Import!$O136 &amp; APIF_Import!$K$1,Podesavanja!$AA$3:$AD$28, 4, 0), 0))</f>
        <v/>
      </c>
      <c r="L136" s="230" t="str">
        <f ca="1">IF( ISNA( VLOOKUP( APIF_Import!$O136 &amp; APIF_Import!$L$1,Podesavanja!$AA$3:$AD$28, 4, 0)), "", VLOOKUP( APIF_Import!$C136, INDIRECT( "Lookup_" &amp; APIF_Import!$M136:$O136), VLOOKUP( APIF_Import!$O136 &amp; APIF_Import!$L$1,Podesavanja!$AA$3:$AD$28, 4, 0), 0))</f>
        <v/>
      </c>
      <c r="M136" s="230" t="str">
        <f ca="1">IF( ISNA( VLOOKUP( APIF_Import!$O136 &amp; APIF_Import!$M$1,Podesavanja!$AA$3:$AD$28, 4, 0)), "", VLOOKUP( APIF_Import!$C136, INDIRECT( "Lookup_" &amp; APIF_Import!$M136:$O136), VLOOKUP( APIF_Import!$O136 &amp; APIF_Import!$M$1,Podesavanja!$AA$3:$AD$28, 4, 0), 0))</f>
        <v/>
      </c>
      <c r="N136" s="8">
        <v>135</v>
      </c>
      <c r="O136" s="230" t="s">
        <v>2896</v>
      </c>
    </row>
    <row r="137" spans="2:15">
      <c r="B137" s="44">
        <f ca="1">VLOOKUP( APIF_Import!$O137, Podesavanja!$N$3:$Q$9, 4, 0)</f>
        <v>2</v>
      </c>
      <c r="C137" s="229">
        <f ca="1">VLOOKUP( APIF_Import!$N137, Aop!$A$2:$P$456, 4, 0)</f>
        <v>0</v>
      </c>
      <c r="D137" s="230" t="str">
        <f ca="1">IF( ISNA( VLOOKUP( APIF_Import!$O137 &amp; APIF_Import!$D$1,Podesavanja!$AA$3:$AD$28, 4, 0)), "", SUBSTITUTE( VALUE( VLOOKUP( APIF_Import!$C137, INDIRECT( "Lookup_" &amp; APIF_Import!$O137), VLOOKUP( APIF_Import!$O137 &amp; APIF_Import!$D$1,Podesavanja!$AA$3:$AD$28, 4, 0), 0)), ".", ","))</f>
        <v>0</v>
      </c>
      <c r="E137" s="230">
        <f ca="1">IF( ISNA( VLOOKUP( APIF_Import!$O137 &amp; APIF_Import!$E$1,Podesavanja!$AA$3:$AD$28, 4, 0)), "", VLOOKUP( APIF_Import!$C137, INDIRECT( "Lookup_" &amp; APIF_Import!$O137), VLOOKUP( APIF_Import!$O137 &amp; APIF_Import!$E$1,Podesavanja!$AA$3:$AD$28, 4, 0), 0))</f>
        <v>0</v>
      </c>
      <c r="F137" s="230" t="str">
        <f ca="1">IF( ISNA( VLOOKUP( APIF_Import!$O137 &amp; APIF_Import!$F$1,Podesavanja!$AA$3:$AD$28, 4, 0)), "", VLOOKUP( APIF_Import!$C137, INDIRECT( "Lookup_" &amp; APIF_Import!$O137), VLOOKUP( APIF_Import!$O137 &amp; APIF_Import!$F$1,Podesavanja!$AA$3:$AD$28, 4, 0), 0))</f>
        <v/>
      </c>
      <c r="G137" s="230" t="str">
        <f ca="1">IF( ISNA( VLOOKUP( APIF_Import!$O137 &amp; APIF_Import!$G$1,Podesavanja!$AA$3:$AD$28, 4, 0)), "", VLOOKUP( APIF_Import!$C137, INDIRECT( "Lookup_" &amp; APIF_Import!$O137), VLOOKUP( APIF_Import!$O137 &amp; APIF_Import!$G$1,Podesavanja!$AA$3:$AD$28, 4, 0), 0))</f>
        <v/>
      </c>
      <c r="H137" s="230" t="str">
        <f ca="1">IF( ISNA( VLOOKUP( APIF_Import!$O137 &amp; APIF_Import!$H$1,Podesavanja!$AA$3:$AD$28, 4, 0)), "", VLOOKUP( APIF_Import!$C137, INDIRECT( "Lookup_" &amp; APIF_Import!$O137), VLOOKUP( APIF_Import!$O137 &amp; APIF_Import!$H$1,Podesavanja!$AA$3:$AD$28, 4, 0), 0))</f>
        <v/>
      </c>
      <c r="I137" s="230" t="str">
        <f ca="1">IF( ISNA( VLOOKUP( APIF_Import!$O137 &amp; APIF_Import!$I$1,Podesavanja!$AA$3:$AD$28, 4, 0)), "", VLOOKUP( APIF_Import!$C137, INDIRECT( "Lookup_" &amp; APIF_Import!$M137:$O137), VLOOKUP( APIF_Import!$O137 &amp; APIF_Import!$I$1,Podesavanja!$AA$3:$AD$28, 4, 0), 0))</f>
        <v/>
      </c>
      <c r="J137" s="230" t="str">
        <f ca="1">IF( ISNA( VLOOKUP( APIF_Import!$O137 &amp; APIF_Import!$J$1,Podesavanja!$AA$3:$AD$28, 4, 0)), "", VLOOKUP( APIF_Import!$C137, INDIRECT( "Lookup_" &amp; APIF_Import!$M137:$O137), VLOOKUP( APIF_Import!$O137 &amp; APIF_Import!$J$1,Podesavanja!$AA$3:$AD$28, 4, 0), 0))</f>
        <v/>
      </c>
      <c r="K137" s="230" t="str">
        <f ca="1">IF( ISNA( VLOOKUP( APIF_Import!$O137 &amp; APIF_Import!$K$1,Podesavanja!$AA$3:$AD$28, 4, 0)), "", VLOOKUP( APIF_Import!$C137, INDIRECT( "Lookup_" &amp; APIF_Import!$M137:$O137), VLOOKUP( APIF_Import!$O137 &amp; APIF_Import!$K$1,Podesavanja!$AA$3:$AD$28, 4, 0), 0))</f>
        <v/>
      </c>
      <c r="L137" s="230" t="str">
        <f ca="1">IF( ISNA( VLOOKUP( APIF_Import!$O137 &amp; APIF_Import!$L$1,Podesavanja!$AA$3:$AD$28, 4, 0)), "", VLOOKUP( APIF_Import!$C137, INDIRECT( "Lookup_" &amp; APIF_Import!$M137:$O137), VLOOKUP( APIF_Import!$O137 &amp; APIF_Import!$L$1,Podesavanja!$AA$3:$AD$28, 4, 0), 0))</f>
        <v/>
      </c>
      <c r="M137" s="230" t="str">
        <f ca="1">IF( ISNA( VLOOKUP( APIF_Import!$O137 &amp; APIF_Import!$M$1,Podesavanja!$AA$3:$AD$28, 4, 0)), "", VLOOKUP( APIF_Import!$C137, INDIRECT( "Lookup_" &amp; APIF_Import!$M137:$O137), VLOOKUP( APIF_Import!$O137 &amp; APIF_Import!$M$1,Podesavanja!$AA$3:$AD$28, 4, 0), 0))</f>
        <v/>
      </c>
      <c r="N137" s="8">
        <v>136</v>
      </c>
      <c r="O137" s="230" t="s">
        <v>2896</v>
      </c>
    </row>
    <row r="138" spans="2:15">
      <c r="B138" s="44">
        <f ca="1">VLOOKUP( APIF_Import!$O138, Podesavanja!$N$3:$Q$9, 4, 0)</f>
        <v>2</v>
      </c>
      <c r="C138" s="229">
        <f ca="1">VLOOKUP( APIF_Import!$N138, Aop!$A$2:$P$456, 4, 0)</f>
        <v>169</v>
      </c>
      <c r="D138" s="230" t="str">
        <f ca="1">IF( ISNA( VLOOKUP( APIF_Import!$O138 &amp; APIF_Import!$D$1,Podesavanja!$AA$3:$AD$28, 4, 0)), "", SUBSTITUTE( VALUE( VLOOKUP( APIF_Import!$C138, INDIRECT( "Lookup_" &amp; APIF_Import!$O138), VLOOKUP( APIF_Import!$O138 &amp; APIF_Import!$D$1,Podesavanja!$AA$3:$AD$28, 4, 0), 0)), ".", ","))</f>
        <v>72232016</v>
      </c>
      <c r="E138" s="230">
        <f ca="1">IF( ISNA( VLOOKUP( APIF_Import!$O138 &amp; APIF_Import!$E$1,Podesavanja!$AA$3:$AD$28, 4, 0)), "", VLOOKUP( APIF_Import!$C138, INDIRECT( "Lookup_" &amp; APIF_Import!$O138), VLOOKUP( APIF_Import!$O138 &amp; APIF_Import!$E$1,Podesavanja!$AA$3:$AD$28, 4, 0), 0))</f>
        <v>85687390</v>
      </c>
      <c r="F138" s="230" t="str">
        <f ca="1">IF( ISNA( VLOOKUP( APIF_Import!$O138 &amp; APIF_Import!$F$1,Podesavanja!$AA$3:$AD$28, 4, 0)), "", VLOOKUP( APIF_Import!$C138, INDIRECT( "Lookup_" &amp; APIF_Import!$O138), VLOOKUP( APIF_Import!$O138 &amp; APIF_Import!$F$1,Podesavanja!$AA$3:$AD$28, 4, 0), 0))</f>
        <v/>
      </c>
      <c r="G138" s="230" t="str">
        <f ca="1">IF( ISNA( VLOOKUP( APIF_Import!$O138 &amp; APIF_Import!$G$1,Podesavanja!$AA$3:$AD$28, 4, 0)), "", VLOOKUP( APIF_Import!$C138, INDIRECT( "Lookup_" &amp; APIF_Import!$O138), VLOOKUP( APIF_Import!$O138 &amp; APIF_Import!$G$1,Podesavanja!$AA$3:$AD$28, 4, 0), 0))</f>
        <v/>
      </c>
      <c r="H138" s="230" t="str">
        <f ca="1">IF( ISNA( VLOOKUP( APIF_Import!$O138 &amp; APIF_Import!$H$1,Podesavanja!$AA$3:$AD$28, 4, 0)), "", VLOOKUP( APIF_Import!$C138, INDIRECT( "Lookup_" &amp; APIF_Import!$O138), VLOOKUP( APIF_Import!$O138 &amp; APIF_Import!$H$1,Podesavanja!$AA$3:$AD$28, 4, 0), 0))</f>
        <v/>
      </c>
      <c r="I138" s="230" t="str">
        <f ca="1">IF( ISNA( VLOOKUP( APIF_Import!$O138 &amp; APIF_Import!$I$1,Podesavanja!$AA$3:$AD$28, 4, 0)), "", VLOOKUP( APIF_Import!$C138, INDIRECT( "Lookup_" &amp; APIF_Import!$M138:$O138), VLOOKUP( APIF_Import!$O138 &amp; APIF_Import!$I$1,Podesavanja!$AA$3:$AD$28, 4, 0), 0))</f>
        <v/>
      </c>
      <c r="J138" s="230" t="str">
        <f ca="1">IF( ISNA( VLOOKUP( APIF_Import!$O138 &amp; APIF_Import!$J$1,Podesavanja!$AA$3:$AD$28, 4, 0)), "", VLOOKUP( APIF_Import!$C138, INDIRECT( "Lookup_" &amp; APIF_Import!$M138:$O138), VLOOKUP( APIF_Import!$O138 &amp; APIF_Import!$J$1,Podesavanja!$AA$3:$AD$28, 4, 0), 0))</f>
        <v/>
      </c>
      <c r="K138" s="230" t="str">
        <f ca="1">IF( ISNA( VLOOKUP( APIF_Import!$O138 &amp; APIF_Import!$K$1,Podesavanja!$AA$3:$AD$28, 4, 0)), "", VLOOKUP( APIF_Import!$C138, INDIRECT( "Lookup_" &amp; APIF_Import!$M138:$O138), VLOOKUP( APIF_Import!$O138 &amp; APIF_Import!$K$1,Podesavanja!$AA$3:$AD$28, 4, 0), 0))</f>
        <v/>
      </c>
      <c r="L138" s="230" t="str">
        <f ca="1">IF( ISNA( VLOOKUP( APIF_Import!$O138 &amp; APIF_Import!$L$1,Podesavanja!$AA$3:$AD$28, 4, 0)), "", VLOOKUP( APIF_Import!$C138, INDIRECT( "Lookup_" &amp; APIF_Import!$M138:$O138), VLOOKUP( APIF_Import!$O138 &amp; APIF_Import!$L$1,Podesavanja!$AA$3:$AD$28, 4, 0), 0))</f>
        <v/>
      </c>
      <c r="M138" s="230" t="str">
        <f ca="1">IF( ISNA( VLOOKUP( APIF_Import!$O138 &amp; APIF_Import!$M$1,Podesavanja!$AA$3:$AD$28, 4, 0)), "", VLOOKUP( APIF_Import!$C138, INDIRECT( "Lookup_" &amp; APIF_Import!$M138:$O138), VLOOKUP( APIF_Import!$O138 &amp; APIF_Import!$M$1,Podesavanja!$AA$3:$AD$28, 4, 0), 0))</f>
        <v/>
      </c>
      <c r="N138" s="8">
        <v>137</v>
      </c>
      <c r="O138" s="230" t="s">
        <v>2896</v>
      </c>
    </row>
    <row r="139" spans="2:15">
      <c r="B139" s="497">
        <f ca="1">VLOOKUP( APIF_Import!$O139, Podesavanja!$N$3:$Q$9, 4, 0)</f>
        <v>2</v>
      </c>
      <c r="C139" s="255">
        <f ca="1">VLOOKUP( APIF_Import!$N139, Aop!$A$2:$P$456, 4, 0)</f>
        <v>170</v>
      </c>
      <c r="D139" s="256" t="str">
        <f ca="1">IF( ISNA( VLOOKUP( APIF_Import!$O139 &amp; APIF_Import!$D$1,Podesavanja!$AA$3:$AD$28, 4, 0)), "", SUBSTITUTE( VALUE( VLOOKUP( APIF_Import!$C139, INDIRECT( "Lookup_" &amp; APIF_Import!$O139), VLOOKUP( APIF_Import!$O139 &amp; APIF_Import!$D$1,Podesavanja!$AA$3:$AD$28, 4, 0), 0)), ".", ","))</f>
        <v>14412988</v>
      </c>
      <c r="E139" s="256">
        <f ca="1">IF( ISNA( VLOOKUP( APIF_Import!$O139 &amp; APIF_Import!$E$1,Podesavanja!$AA$3:$AD$28, 4, 0)), "", VLOOKUP( APIF_Import!$C139, INDIRECT( "Lookup_" &amp; APIF_Import!$O139), VLOOKUP( APIF_Import!$O139 &amp; APIF_Import!$E$1,Podesavanja!$AA$3:$AD$28, 4, 0), 0))</f>
        <v>14412988</v>
      </c>
      <c r="F139" s="256" t="str">
        <f ca="1">IF( ISNA( VLOOKUP( APIF_Import!$O139 &amp; APIF_Import!$F$1,Podesavanja!$AA$3:$AD$28, 4, 0)), "", VLOOKUP( APIF_Import!$C139, INDIRECT( "Lookup_" &amp; APIF_Import!$O139), VLOOKUP( APIF_Import!$O139 &amp; APIF_Import!$F$1,Podesavanja!$AA$3:$AD$28, 4, 0), 0))</f>
        <v/>
      </c>
      <c r="G139" s="256" t="str">
        <f ca="1">IF( ISNA( VLOOKUP( APIF_Import!$O139 &amp; APIF_Import!$G$1,Podesavanja!$AA$3:$AD$28, 4, 0)), "", VLOOKUP( APIF_Import!$C139, INDIRECT( "Lookup_" &amp; APIF_Import!$O139), VLOOKUP( APIF_Import!$O139 &amp; APIF_Import!$G$1,Podesavanja!$AA$3:$AD$28, 4, 0), 0))</f>
        <v/>
      </c>
      <c r="H139" s="256" t="str">
        <f ca="1">IF( ISNA( VLOOKUP( APIF_Import!$O139 &amp; APIF_Import!$H$1,Podesavanja!$AA$3:$AD$28, 4, 0)), "", VLOOKUP( APIF_Import!$C139, INDIRECT( "Lookup_" &amp; APIF_Import!$O139), VLOOKUP( APIF_Import!$O139 &amp; APIF_Import!$H$1,Podesavanja!$AA$3:$AD$28, 4, 0), 0))</f>
        <v/>
      </c>
      <c r="I139" s="230" t="str">
        <f ca="1">IF( ISNA( VLOOKUP( APIF_Import!$O139 &amp; APIF_Import!$I$1,Podesavanja!$AA$3:$AD$28, 4, 0)), "", VLOOKUP( APIF_Import!$C139, INDIRECT( "Lookup_" &amp; APIF_Import!$M139:$O139), VLOOKUP( APIF_Import!$O139 &amp; APIF_Import!$I$1,Podesavanja!$AA$3:$AD$28, 4, 0), 0))</f>
        <v/>
      </c>
      <c r="J139" s="230" t="str">
        <f ca="1">IF( ISNA( VLOOKUP( APIF_Import!$O139 &amp; APIF_Import!$J$1,Podesavanja!$AA$3:$AD$28, 4, 0)), "", VLOOKUP( APIF_Import!$C139, INDIRECT( "Lookup_" &amp; APIF_Import!$M139:$O139), VLOOKUP( APIF_Import!$O139 &amp; APIF_Import!$J$1,Podesavanja!$AA$3:$AD$28, 4, 0), 0))</f>
        <v/>
      </c>
      <c r="K139" s="230" t="str">
        <f ca="1">IF( ISNA( VLOOKUP( APIF_Import!$O139 &amp; APIF_Import!$K$1,Podesavanja!$AA$3:$AD$28, 4, 0)), "", VLOOKUP( APIF_Import!$C139, INDIRECT( "Lookup_" &amp; APIF_Import!$M139:$O139), VLOOKUP( APIF_Import!$O139 &amp; APIF_Import!$K$1,Podesavanja!$AA$3:$AD$28, 4, 0), 0))</f>
        <v/>
      </c>
      <c r="L139" s="230" t="str">
        <f ca="1">IF( ISNA( VLOOKUP( APIF_Import!$O139 &amp; APIF_Import!$L$1,Podesavanja!$AA$3:$AD$28, 4, 0)), "", VLOOKUP( APIF_Import!$C139, INDIRECT( "Lookup_" &amp; APIF_Import!$M139:$O139), VLOOKUP( APIF_Import!$O139 &amp; APIF_Import!$L$1,Podesavanja!$AA$3:$AD$28, 4, 0), 0))</f>
        <v/>
      </c>
      <c r="M139" s="230" t="str">
        <f ca="1">IF( ISNA( VLOOKUP( APIF_Import!$O139 &amp; APIF_Import!$M$1,Podesavanja!$AA$3:$AD$28, 4, 0)), "", VLOOKUP( APIF_Import!$C139, INDIRECT( "Lookup_" &amp; APIF_Import!$M139:$O139), VLOOKUP( APIF_Import!$O139 &amp; APIF_Import!$M$1,Podesavanja!$AA$3:$AD$28, 4, 0), 0))</f>
        <v/>
      </c>
      <c r="N139" s="254">
        <v>138</v>
      </c>
      <c r="O139" s="256" t="s">
        <v>2896</v>
      </c>
    </row>
    <row r="140" spans="2:15">
      <c r="B140" s="44">
        <f ca="1">VLOOKUP( APIF_Import!$O140, Podesavanja!$N$3:$Q$9, 4, 0)</f>
        <v>3</v>
      </c>
      <c r="C140" s="229">
        <f ca="1">VLOOKUP( APIF_Import!$N140, Aop!$A$2:$P$456, 4, 0)</f>
        <v>201</v>
      </c>
      <c r="D140" s="230" t="str">
        <f ca="1">IF( ISNA( VLOOKUP( APIF_Import!$O140 &amp; APIF_Import!$D$1,Podesavanja!$AA$3:$AD$28, 4, 0)), "", SUBSTITUTE( VALUE( VLOOKUP( APIF_Import!$C140, INDIRECT( "Lookup_" &amp; APIF_Import!$O140), VLOOKUP( APIF_Import!$O140 &amp; APIF_Import!$D$1,Podesavanja!$AA$3:$AD$28, 4, 0), 0)), ".", ","))</f>
        <v>17963782</v>
      </c>
      <c r="E140" s="230">
        <f ca="1">IF( ISNA( VLOOKUP( APIF_Import!$O140 &amp; APIF_Import!$E$1,Podesavanja!$AA$3:$AD$28, 4, 0)), "", VLOOKUP( APIF_Import!$C140, INDIRECT( "Lookup_" &amp; APIF_Import!$O140), VLOOKUP( APIF_Import!$O140 &amp; APIF_Import!$E$1,Podesavanja!$AA$3:$AD$28, 4, 0), 0))</f>
        <v>474536</v>
      </c>
      <c r="F140" s="230" t="str">
        <f ca="1">IF( ISNA( VLOOKUP( APIF_Import!$O140 &amp; APIF_Import!$F$1,Podesavanja!$AA$3:$AD$28, 4, 0)), "", VLOOKUP( APIF_Import!$C140, INDIRECT( "Lookup_" &amp; APIF_Import!$O140), VLOOKUP( APIF_Import!$O140 &amp; APIF_Import!$F$1,Podesavanja!$AA$3:$AD$28, 4, 0), 0))</f>
        <v/>
      </c>
      <c r="G140" s="230" t="str">
        <f ca="1">IF( ISNA( VLOOKUP( APIF_Import!$O140 &amp; APIF_Import!$G$1,Podesavanja!$AA$3:$AD$28, 4, 0)), "", VLOOKUP( APIF_Import!$C140, INDIRECT( "Lookup_" &amp; APIF_Import!$O140), VLOOKUP( APIF_Import!$O140 &amp; APIF_Import!$G$1,Podesavanja!$AA$3:$AD$28, 4, 0), 0))</f>
        <v/>
      </c>
      <c r="H140" s="230" t="str">
        <f ca="1">IF( ISNA( VLOOKUP( APIF_Import!$O140 &amp; APIF_Import!$H$1,Podesavanja!$AA$3:$AD$28, 4, 0)), "", VLOOKUP( APIF_Import!$C140, INDIRECT( "Lookup_" &amp; APIF_Import!$O140), VLOOKUP( APIF_Import!$O140 &amp; APIF_Import!$H$1,Podesavanja!$AA$3:$AD$28, 4, 0), 0))</f>
        <v/>
      </c>
      <c r="I140" s="230" t="str">
        <f ca="1">IF( ISNA( VLOOKUP( APIF_Import!$O140 &amp; APIF_Import!$I$1,Podesavanja!$AA$3:$AD$28, 4, 0)), "", VLOOKUP( APIF_Import!$C140, INDIRECT( "Lookup_" &amp; APIF_Import!$M140:$O140), VLOOKUP( APIF_Import!$O140 &amp; APIF_Import!$I$1,Podesavanja!$AA$3:$AD$28, 4, 0), 0))</f>
        <v/>
      </c>
      <c r="J140" s="230" t="str">
        <f ca="1">IF( ISNA( VLOOKUP( APIF_Import!$O140 &amp; APIF_Import!$J$1,Podesavanja!$AA$3:$AD$28, 4, 0)), "", VLOOKUP( APIF_Import!$C140, INDIRECT( "Lookup_" &amp; APIF_Import!$M140:$O140), VLOOKUP( APIF_Import!$O140 &amp; APIF_Import!$J$1,Podesavanja!$AA$3:$AD$28, 4, 0), 0))</f>
        <v/>
      </c>
      <c r="K140" s="230" t="str">
        <f ca="1">IF( ISNA( VLOOKUP( APIF_Import!$O140 &amp; APIF_Import!$K$1,Podesavanja!$AA$3:$AD$28, 4, 0)), "", VLOOKUP( APIF_Import!$C140, INDIRECT( "Lookup_" &amp; APIF_Import!$M140:$O140), VLOOKUP( APIF_Import!$O140 &amp; APIF_Import!$K$1,Podesavanja!$AA$3:$AD$28, 4, 0), 0))</f>
        <v/>
      </c>
      <c r="L140" s="230" t="str">
        <f ca="1">IF( ISNA( VLOOKUP( APIF_Import!$O140 &amp; APIF_Import!$L$1,Podesavanja!$AA$3:$AD$28, 4, 0)), "", VLOOKUP( APIF_Import!$C140, INDIRECT( "Lookup_" &amp; APIF_Import!$M140:$O140), VLOOKUP( APIF_Import!$O140 &amp; APIF_Import!$L$1,Podesavanja!$AA$3:$AD$28, 4, 0), 0))</f>
        <v/>
      </c>
      <c r="M140" s="230" t="str">
        <f ca="1">IF( ISNA( VLOOKUP( APIF_Import!$O140 &amp; APIF_Import!$M$1,Podesavanja!$AA$3:$AD$28, 4, 0)), "", VLOOKUP( APIF_Import!$C140, INDIRECT( "Lookup_" &amp; APIF_Import!$M140:$O140), VLOOKUP( APIF_Import!$O140 &amp; APIF_Import!$M$1,Podesavanja!$AA$3:$AD$28, 4, 0), 0))</f>
        <v/>
      </c>
      <c r="N140" s="8">
        <v>139</v>
      </c>
      <c r="O140" s="230" t="s">
        <v>2377</v>
      </c>
    </row>
    <row r="141" spans="2:15">
      <c r="B141" s="44">
        <f ca="1">VLOOKUP( APIF_Import!$O141, Podesavanja!$N$3:$Q$9, 4, 0)</f>
        <v>3</v>
      </c>
      <c r="C141" s="229">
        <f ca="1">VLOOKUP( APIF_Import!$N141, Aop!$A$2:$P$456, 4, 0)</f>
        <v>202</v>
      </c>
      <c r="D141" s="230" t="str">
        <f ca="1">IF( ISNA( VLOOKUP( APIF_Import!$O141 &amp; APIF_Import!$D$1,Podesavanja!$AA$3:$AD$28, 4, 0)), "", SUBSTITUTE( VALUE( VLOOKUP( APIF_Import!$C141, INDIRECT( "Lookup_" &amp; APIF_Import!$O141), VLOOKUP( APIF_Import!$O141 &amp; APIF_Import!$D$1,Podesavanja!$AA$3:$AD$28, 4, 0), 0)), ".", ","))</f>
        <v>619385</v>
      </c>
      <c r="E141" s="230">
        <f ca="1">IF( ISNA( VLOOKUP( APIF_Import!$O141 &amp; APIF_Import!$E$1,Podesavanja!$AA$3:$AD$28, 4, 0)), "", VLOOKUP( APIF_Import!$C141, INDIRECT( "Lookup_" &amp; APIF_Import!$O141), VLOOKUP( APIF_Import!$O141 &amp; APIF_Import!$E$1,Podesavanja!$AA$3:$AD$28, 4, 0), 0))</f>
        <v>0</v>
      </c>
      <c r="F141" s="230" t="str">
        <f ca="1">IF( ISNA( VLOOKUP( APIF_Import!$O141 &amp; APIF_Import!$F$1,Podesavanja!$AA$3:$AD$28, 4, 0)), "", VLOOKUP( APIF_Import!$C141, INDIRECT( "Lookup_" &amp; APIF_Import!$O141), VLOOKUP( APIF_Import!$O141 &amp; APIF_Import!$F$1,Podesavanja!$AA$3:$AD$28, 4, 0), 0))</f>
        <v/>
      </c>
      <c r="G141" s="230" t="str">
        <f ca="1">IF( ISNA( VLOOKUP( APIF_Import!$O141 &amp; APIF_Import!$G$1,Podesavanja!$AA$3:$AD$28, 4, 0)), "", VLOOKUP( APIF_Import!$C141, INDIRECT( "Lookup_" &amp; APIF_Import!$O141), VLOOKUP( APIF_Import!$O141 &amp; APIF_Import!$G$1,Podesavanja!$AA$3:$AD$28, 4, 0), 0))</f>
        <v/>
      </c>
      <c r="H141" s="230" t="str">
        <f ca="1">IF( ISNA( VLOOKUP( APIF_Import!$O141 &amp; APIF_Import!$H$1,Podesavanja!$AA$3:$AD$28, 4, 0)), "", VLOOKUP( APIF_Import!$C141, INDIRECT( "Lookup_" &amp; APIF_Import!$O141), VLOOKUP( APIF_Import!$O141 &amp; APIF_Import!$H$1,Podesavanja!$AA$3:$AD$28, 4, 0), 0))</f>
        <v/>
      </c>
      <c r="I141" s="230" t="str">
        <f ca="1">IF( ISNA( VLOOKUP( APIF_Import!$O141 &amp; APIF_Import!$I$1,Podesavanja!$AA$3:$AD$28, 4, 0)), "", VLOOKUP( APIF_Import!$C141, INDIRECT( "Lookup_" &amp; APIF_Import!$M141:$O141), VLOOKUP( APIF_Import!$O141 &amp; APIF_Import!$I$1,Podesavanja!$AA$3:$AD$28, 4, 0), 0))</f>
        <v/>
      </c>
      <c r="J141" s="230" t="str">
        <f ca="1">IF( ISNA( VLOOKUP( APIF_Import!$O141 &amp; APIF_Import!$J$1,Podesavanja!$AA$3:$AD$28, 4, 0)), "", VLOOKUP( APIF_Import!$C141, INDIRECT( "Lookup_" &amp; APIF_Import!$M141:$O141), VLOOKUP( APIF_Import!$O141 &amp; APIF_Import!$J$1,Podesavanja!$AA$3:$AD$28, 4, 0), 0))</f>
        <v/>
      </c>
      <c r="K141" s="230" t="str">
        <f ca="1">IF( ISNA( VLOOKUP( APIF_Import!$O141 &amp; APIF_Import!$K$1,Podesavanja!$AA$3:$AD$28, 4, 0)), "", VLOOKUP( APIF_Import!$C141, INDIRECT( "Lookup_" &amp; APIF_Import!$M141:$O141), VLOOKUP( APIF_Import!$O141 &amp; APIF_Import!$K$1,Podesavanja!$AA$3:$AD$28, 4, 0), 0))</f>
        <v/>
      </c>
      <c r="L141" s="230" t="str">
        <f ca="1">IF( ISNA( VLOOKUP( APIF_Import!$O141 &amp; APIF_Import!$L$1,Podesavanja!$AA$3:$AD$28, 4, 0)), "", VLOOKUP( APIF_Import!$C141, INDIRECT( "Lookup_" &amp; APIF_Import!$M141:$O141), VLOOKUP( APIF_Import!$O141 &amp; APIF_Import!$L$1,Podesavanja!$AA$3:$AD$28, 4, 0), 0))</f>
        <v/>
      </c>
      <c r="M141" s="230" t="str">
        <f ca="1">IF( ISNA( VLOOKUP( APIF_Import!$O141 &amp; APIF_Import!$M$1,Podesavanja!$AA$3:$AD$28, 4, 0)), "", VLOOKUP( APIF_Import!$C141, INDIRECT( "Lookup_" &amp; APIF_Import!$M141:$O141), VLOOKUP( APIF_Import!$O141 &amp; APIF_Import!$M$1,Podesavanja!$AA$3:$AD$28, 4, 0), 0))</f>
        <v/>
      </c>
      <c r="N141" s="8">
        <v>140</v>
      </c>
      <c r="O141" s="230" t="s">
        <v>2377</v>
      </c>
    </row>
    <row r="142" spans="2:15">
      <c r="B142" s="44">
        <f ca="1">VLOOKUP( APIF_Import!$O142, Podesavanja!$N$3:$Q$9, 4, 0)</f>
        <v>3</v>
      </c>
      <c r="C142" s="229">
        <f ca="1">VLOOKUP( APIF_Import!$N142, Aop!$A$2:$P$456, 4, 0)</f>
        <v>203</v>
      </c>
      <c r="D142" s="230" t="str">
        <f ca="1">IF( ISNA( VLOOKUP( APIF_Import!$O142 &amp; APIF_Import!$D$1,Podesavanja!$AA$3:$AD$28, 4, 0)), "", SUBSTITUTE( VALUE( VLOOKUP( APIF_Import!$C142, INDIRECT( "Lookup_" &amp; APIF_Import!$O142), VLOOKUP( APIF_Import!$O142 &amp; APIF_Import!$D$1,Podesavanja!$AA$3:$AD$28, 4, 0), 0)), ".", ","))</f>
        <v>0</v>
      </c>
      <c r="E142" s="230">
        <f ca="1">IF( ISNA( VLOOKUP( APIF_Import!$O142 &amp; APIF_Import!$E$1,Podesavanja!$AA$3:$AD$28, 4, 0)), "", VLOOKUP( APIF_Import!$C142, INDIRECT( "Lookup_" &amp; APIF_Import!$O142), VLOOKUP( APIF_Import!$O142 &amp; APIF_Import!$E$1,Podesavanja!$AA$3:$AD$28, 4, 0), 0))</f>
        <v>0</v>
      </c>
      <c r="F142" s="230" t="str">
        <f ca="1">IF( ISNA( VLOOKUP( APIF_Import!$O142 &amp; APIF_Import!$F$1,Podesavanja!$AA$3:$AD$28, 4, 0)), "", VLOOKUP( APIF_Import!$C142, INDIRECT( "Lookup_" &amp; APIF_Import!$O142), VLOOKUP( APIF_Import!$O142 &amp; APIF_Import!$F$1,Podesavanja!$AA$3:$AD$28, 4, 0), 0))</f>
        <v/>
      </c>
      <c r="G142" s="230" t="str">
        <f ca="1">IF( ISNA( VLOOKUP( APIF_Import!$O142 &amp; APIF_Import!$G$1,Podesavanja!$AA$3:$AD$28, 4, 0)), "", VLOOKUP( APIF_Import!$C142, INDIRECT( "Lookup_" &amp; APIF_Import!$O142), VLOOKUP( APIF_Import!$O142 &amp; APIF_Import!$G$1,Podesavanja!$AA$3:$AD$28, 4, 0), 0))</f>
        <v/>
      </c>
      <c r="H142" s="230" t="str">
        <f ca="1">IF( ISNA( VLOOKUP( APIF_Import!$O142 &amp; APIF_Import!$H$1,Podesavanja!$AA$3:$AD$28, 4, 0)), "", VLOOKUP( APIF_Import!$C142, INDIRECT( "Lookup_" &amp; APIF_Import!$O142), VLOOKUP( APIF_Import!$O142 &amp; APIF_Import!$H$1,Podesavanja!$AA$3:$AD$28, 4, 0), 0))</f>
        <v/>
      </c>
      <c r="I142" s="230" t="str">
        <f ca="1">IF( ISNA( VLOOKUP( APIF_Import!$O142 &amp; APIF_Import!$I$1,Podesavanja!$AA$3:$AD$28, 4, 0)), "", VLOOKUP( APIF_Import!$C142, INDIRECT( "Lookup_" &amp; APIF_Import!$M142:$O142), VLOOKUP( APIF_Import!$O142 &amp; APIF_Import!$I$1,Podesavanja!$AA$3:$AD$28, 4, 0), 0))</f>
        <v/>
      </c>
      <c r="J142" s="230" t="str">
        <f ca="1">IF( ISNA( VLOOKUP( APIF_Import!$O142 &amp; APIF_Import!$J$1,Podesavanja!$AA$3:$AD$28, 4, 0)), "", VLOOKUP( APIF_Import!$C142, INDIRECT( "Lookup_" &amp; APIF_Import!$M142:$O142), VLOOKUP( APIF_Import!$O142 &amp; APIF_Import!$J$1,Podesavanja!$AA$3:$AD$28, 4, 0), 0))</f>
        <v/>
      </c>
      <c r="K142" s="230" t="str">
        <f ca="1">IF( ISNA( VLOOKUP( APIF_Import!$O142 &amp; APIF_Import!$K$1,Podesavanja!$AA$3:$AD$28, 4, 0)), "", VLOOKUP( APIF_Import!$C142, INDIRECT( "Lookup_" &amp; APIF_Import!$M142:$O142), VLOOKUP( APIF_Import!$O142 &amp; APIF_Import!$K$1,Podesavanja!$AA$3:$AD$28, 4, 0), 0))</f>
        <v/>
      </c>
      <c r="L142" s="230" t="str">
        <f ca="1">IF( ISNA( VLOOKUP( APIF_Import!$O142 &amp; APIF_Import!$L$1,Podesavanja!$AA$3:$AD$28, 4, 0)), "", VLOOKUP( APIF_Import!$C142, INDIRECT( "Lookup_" &amp; APIF_Import!$M142:$O142), VLOOKUP( APIF_Import!$O142 &amp; APIF_Import!$L$1,Podesavanja!$AA$3:$AD$28, 4, 0), 0))</f>
        <v/>
      </c>
      <c r="M142" s="230" t="str">
        <f ca="1">IF( ISNA( VLOOKUP( APIF_Import!$O142 &amp; APIF_Import!$M$1,Podesavanja!$AA$3:$AD$28, 4, 0)), "", VLOOKUP( APIF_Import!$C142, INDIRECT( "Lookup_" &amp; APIF_Import!$M142:$O142), VLOOKUP( APIF_Import!$O142 &amp; APIF_Import!$M$1,Podesavanja!$AA$3:$AD$28, 4, 0), 0))</f>
        <v/>
      </c>
      <c r="N142" s="8">
        <v>141</v>
      </c>
      <c r="O142" s="230" t="s">
        <v>2377</v>
      </c>
    </row>
    <row r="143" spans="2:15">
      <c r="B143" s="44">
        <f ca="1">VLOOKUP( APIF_Import!$O143, Podesavanja!$N$3:$Q$9, 4, 0)</f>
        <v>3</v>
      </c>
      <c r="C143" s="229">
        <f ca="1">VLOOKUP( APIF_Import!$N143, Aop!$A$2:$P$456, 4, 0)</f>
        <v>204</v>
      </c>
      <c r="D143" s="230" t="str">
        <f ca="1">IF( ISNA( VLOOKUP( APIF_Import!$O143 &amp; APIF_Import!$D$1,Podesavanja!$AA$3:$AD$28, 4, 0)), "", SUBSTITUTE( VALUE( VLOOKUP( APIF_Import!$C143, INDIRECT( "Lookup_" &amp; APIF_Import!$O143), VLOOKUP( APIF_Import!$O143 &amp; APIF_Import!$D$1,Podesavanja!$AA$3:$AD$28, 4, 0), 0)), ".", ","))</f>
        <v>619385</v>
      </c>
      <c r="E143" s="230">
        <f ca="1">IF( ISNA( VLOOKUP( APIF_Import!$O143 &amp; APIF_Import!$E$1,Podesavanja!$AA$3:$AD$28, 4, 0)), "", VLOOKUP( APIF_Import!$C143, INDIRECT( "Lookup_" &amp; APIF_Import!$O143), VLOOKUP( APIF_Import!$O143 &amp; APIF_Import!$E$1,Podesavanja!$AA$3:$AD$28, 4, 0), 0))</f>
        <v>0</v>
      </c>
      <c r="F143" s="230" t="str">
        <f ca="1">IF( ISNA( VLOOKUP( APIF_Import!$O143 &amp; APIF_Import!$F$1,Podesavanja!$AA$3:$AD$28, 4, 0)), "", VLOOKUP( APIF_Import!$C143, INDIRECT( "Lookup_" &amp; APIF_Import!$O143), VLOOKUP( APIF_Import!$O143 &amp; APIF_Import!$F$1,Podesavanja!$AA$3:$AD$28, 4, 0), 0))</f>
        <v/>
      </c>
      <c r="G143" s="230" t="str">
        <f ca="1">IF( ISNA( VLOOKUP( APIF_Import!$O143 &amp; APIF_Import!$G$1,Podesavanja!$AA$3:$AD$28, 4, 0)), "", VLOOKUP( APIF_Import!$C143, INDIRECT( "Lookup_" &amp; APIF_Import!$O143), VLOOKUP( APIF_Import!$O143 &amp; APIF_Import!$G$1,Podesavanja!$AA$3:$AD$28, 4, 0), 0))</f>
        <v/>
      </c>
      <c r="H143" s="230" t="str">
        <f ca="1">IF( ISNA( VLOOKUP( APIF_Import!$O143 &amp; APIF_Import!$H$1,Podesavanja!$AA$3:$AD$28, 4, 0)), "", VLOOKUP( APIF_Import!$C143, INDIRECT( "Lookup_" &amp; APIF_Import!$O143), VLOOKUP( APIF_Import!$O143 &amp; APIF_Import!$H$1,Podesavanja!$AA$3:$AD$28, 4, 0), 0))</f>
        <v/>
      </c>
      <c r="I143" s="230" t="str">
        <f ca="1">IF( ISNA( VLOOKUP( APIF_Import!$O143 &amp; APIF_Import!$I$1,Podesavanja!$AA$3:$AD$28, 4, 0)), "", VLOOKUP( APIF_Import!$C143, INDIRECT( "Lookup_" &amp; APIF_Import!$M143:$O143), VLOOKUP( APIF_Import!$O143 &amp; APIF_Import!$I$1,Podesavanja!$AA$3:$AD$28, 4, 0), 0))</f>
        <v/>
      </c>
      <c r="J143" s="230" t="str">
        <f ca="1">IF( ISNA( VLOOKUP( APIF_Import!$O143 &amp; APIF_Import!$J$1,Podesavanja!$AA$3:$AD$28, 4, 0)), "", VLOOKUP( APIF_Import!$C143, INDIRECT( "Lookup_" &amp; APIF_Import!$M143:$O143), VLOOKUP( APIF_Import!$O143 &amp; APIF_Import!$J$1,Podesavanja!$AA$3:$AD$28, 4, 0), 0))</f>
        <v/>
      </c>
      <c r="K143" s="230" t="str">
        <f ca="1">IF( ISNA( VLOOKUP( APIF_Import!$O143 &amp; APIF_Import!$K$1,Podesavanja!$AA$3:$AD$28, 4, 0)), "", VLOOKUP( APIF_Import!$C143, INDIRECT( "Lookup_" &amp; APIF_Import!$M143:$O143), VLOOKUP( APIF_Import!$O143 &amp; APIF_Import!$K$1,Podesavanja!$AA$3:$AD$28, 4, 0), 0))</f>
        <v/>
      </c>
      <c r="L143" s="230" t="str">
        <f ca="1">IF( ISNA( VLOOKUP( APIF_Import!$O143 &amp; APIF_Import!$L$1,Podesavanja!$AA$3:$AD$28, 4, 0)), "", VLOOKUP( APIF_Import!$C143, INDIRECT( "Lookup_" &amp; APIF_Import!$M143:$O143), VLOOKUP( APIF_Import!$O143 &amp; APIF_Import!$L$1,Podesavanja!$AA$3:$AD$28, 4, 0), 0))</f>
        <v/>
      </c>
      <c r="M143" s="230" t="str">
        <f ca="1">IF( ISNA( VLOOKUP( APIF_Import!$O143 &amp; APIF_Import!$M$1,Podesavanja!$AA$3:$AD$28, 4, 0)), "", VLOOKUP( APIF_Import!$C143, INDIRECT( "Lookup_" &amp; APIF_Import!$M143:$O143), VLOOKUP( APIF_Import!$O143 &amp; APIF_Import!$M$1,Podesavanja!$AA$3:$AD$28, 4, 0), 0))</f>
        <v/>
      </c>
      <c r="N143" s="8">
        <v>142</v>
      </c>
      <c r="O143" s="230" t="s">
        <v>2377</v>
      </c>
    </row>
    <row r="144" spans="2:15">
      <c r="B144" s="44">
        <f ca="1">VLOOKUP( APIF_Import!$O144, Podesavanja!$N$3:$Q$9, 4, 0)</f>
        <v>3</v>
      </c>
      <c r="C144" s="229">
        <f ca="1">VLOOKUP( APIF_Import!$N144, Aop!$A$2:$P$456, 4, 0)</f>
        <v>205</v>
      </c>
      <c r="D144" s="230" t="str">
        <f ca="1">IF( ISNA( VLOOKUP( APIF_Import!$O144 &amp; APIF_Import!$D$1,Podesavanja!$AA$3:$AD$28, 4, 0)), "", SUBSTITUTE( VALUE( VLOOKUP( APIF_Import!$C144, INDIRECT( "Lookup_" &amp; APIF_Import!$O144), VLOOKUP( APIF_Import!$O144 &amp; APIF_Import!$D$1,Podesavanja!$AA$3:$AD$28, 4, 0), 0)), ".", ","))</f>
        <v>0</v>
      </c>
      <c r="E144" s="230">
        <f ca="1">IF( ISNA( VLOOKUP( APIF_Import!$O144 &amp; APIF_Import!$E$1,Podesavanja!$AA$3:$AD$28, 4, 0)), "", VLOOKUP( APIF_Import!$C144, INDIRECT( "Lookup_" &amp; APIF_Import!$O144), VLOOKUP( APIF_Import!$O144 &amp; APIF_Import!$E$1,Podesavanja!$AA$3:$AD$28, 4, 0), 0))</f>
        <v>0</v>
      </c>
      <c r="F144" s="230" t="str">
        <f ca="1">IF( ISNA( VLOOKUP( APIF_Import!$O144 &amp; APIF_Import!$F$1,Podesavanja!$AA$3:$AD$28, 4, 0)), "", VLOOKUP( APIF_Import!$C144, INDIRECT( "Lookup_" &amp; APIF_Import!$O144), VLOOKUP( APIF_Import!$O144 &amp; APIF_Import!$F$1,Podesavanja!$AA$3:$AD$28, 4, 0), 0))</f>
        <v/>
      </c>
      <c r="G144" s="230" t="str">
        <f ca="1">IF( ISNA( VLOOKUP( APIF_Import!$O144 &amp; APIF_Import!$G$1,Podesavanja!$AA$3:$AD$28, 4, 0)), "", VLOOKUP( APIF_Import!$C144, INDIRECT( "Lookup_" &amp; APIF_Import!$O144), VLOOKUP( APIF_Import!$O144 &amp; APIF_Import!$G$1,Podesavanja!$AA$3:$AD$28, 4, 0), 0))</f>
        <v/>
      </c>
      <c r="H144" s="230" t="str">
        <f ca="1">IF( ISNA( VLOOKUP( APIF_Import!$O144 &amp; APIF_Import!$H$1,Podesavanja!$AA$3:$AD$28, 4, 0)), "", VLOOKUP( APIF_Import!$C144, INDIRECT( "Lookup_" &amp; APIF_Import!$O144), VLOOKUP( APIF_Import!$O144 &amp; APIF_Import!$H$1,Podesavanja!$AA$3:$AD$28, 4, 0), 0))</f>
        <v/>
      </c>
      <c r="I144" s="230" t="str">
        <f ca="1">IF( ISNA( VLOOKUP( APIF_Import!$O144 &amp; APIF_Import!$I$1,Podesavanja!$AA$3:$AD$28, 4, 0)), "", VLOOKUP( APIF_Import!$C144, INDIRECT( "Lookup_" &amp; APIF_Import!$M144:$O144), VLOOKUP( APIF_Import!$O144 &amp; APIF_Import!$I$1,Podesavanja!$AA$3:$AD$28, 4, 0), 0))</f>
        <v/>
      </c>
      <c r="J144" s="230" t="str">
        <f ca="1">IF( ISNA( VLOOKUP( APIF_Import!$O144 &amp; APIF_Import!$J$1,Podesavanja!$AA$3:$AD$28, 4, 0)), "", VLOOKUP( APIF_Import!$C144, INDIRECT( "Lookup_" &amp; APIF_Import!$M144:$O144), VLOOKUP( APIF_Import!$O144 &amp; APIF_Import!$J$1,Podesavanja!$AA$3:$AD$28, 4, 0), 0))</f>
        <v/>
      </c>
      <c r="K144" s="230" t="str">
        <f ca="1">IF( ISNA( VLOOKUP( APIF_Import!$O144 &amp; APIF_Import!$K$1,Podesavanja!$AA$3:$AD$28, 4, 0)), "", VLOOKUP( APIF_Import!$C144, INDIRECT( "Lookup_" &amp; APIF_Import!$M144:$O144), VLOOKUP( APIF_Import!$O144 &amp; APIF_Import!$K$1,Podesavanja!$AA$3:$AD$28, 4, 0), 0))</f>
        <v/>
      </c>
      <c r="L144" s="230" t="str">
        <f ca="1">IF( ISNA( VLOOKUP( APIF_Import!$O144 &amp; APIF_Import!$L$1,Podesavanja!$AA$3:$AD$28, 4, 0)), "", VLOOKUP( APIF_Import!$C144, INDIRECT( "Lookup_" &amp; APIF_Import!$M144:$O144), VLOOKUP( APIF_Import!$O144 &amp; APIF_Import!$L$1,Podesavanja!$AA$3:$AD$28, 4, 0), 0))</f>
        <v/>
      </c>
      <c r="M144" s="230" t="str">
        <f ca="1">IF( ISNA( VLOOKUP( APIF_Import!$O144 &amp; APIF_Import!$M$1,Podesavanja!$AA$3:$AD$28, 4, 0)), "", VLOOKUP( APIF_Import!$C144, INDIRECT( "Lookup_" &amp; APIF_Import!$M144:$O144), VLOOKUP( APIF_Import!$O144 &amp; APIF_Import!$M$1,Podesavanja!$AA$3:$AD$28, 4, 0), 0))</f>
        <v/>
      </c>
      <c r="N144" s="8">
        <v>143</v>
      </c>
      <c r="O144" s="230" t="s">
        <v>2377</v>
      </c>
    </row>
    <row r="145" spans="2:15">
      <c r="B145" s="44">
        <f ca="1">VLOOKUP( APIF_Import!$O145, Podesavanja!$N$3:$Q$9, 4, 0)</f>
        <v>3</v>
      </c>
      <c r="C145" s="229">
        <f ca="1">VLOOKUP( APIF_Import!$N145, Aop!$A$2:$P$456, 4, 0)</f>
        <v>206</v>
      </c>
      <c r="D145" s="230" t="str">
        <f ca="1">IF( ISNA( VLOOKUP( APIF_Import!$O145 &amp; APIF_Import!$D$1,Podesavanja!$AA$3:$AD$28, 4, 0)), "", SUBSTITUTE( VALUE( VLOOKUP( APIF_Import!$C145, INDIRECT( "Lookup_" &amp; APIF_Import!$O145), VLOOKUP( APIF_Import!$O145 &amp; APIF_Import!$D$1,Podesavanja!$AA$3:$AD$28, 4, 0), 0)), ".", ","))</f>
        <v>0</v>
      </c>
      <c r="E145" s="230">
        <f ca="1">IF( ISNA( VLOOKUP( APIF_Import!$O145 &amp; APIF_Import!$E$1,Podesavanja!$AA$3:$AD$28, 4, 0)), "", VLOOKUP( APIF_Import!$C145, INDIRECT( "Lookup_" &amp; APIF_Import!$O145), VLOOKUP( APIF_Import!$O145 &amp; APIF_Import!$E$1,Podesavanja!$AA$3:$AD$28, 4, 0), 0))</f>
        <v>0</v>
      </c>
      <c r="F145" s="230" t="str">
        <f ca="1">IF( ISNA( VLOOKUP( APIF_Import!$O145 &amp; APIF_Import!$F$1,Podesavanja!$AA$3:$AD$28, 4, 0)), "", VLOOKUP( APIF_Import!$C145, INDIRECT( "Lookup_" &amp; APIF_Import!$O145), VLOOKUP( APIF_Import!$O145 &amp; APIF_Import!$F$1,Podesavanja!$AA$3:$AD$28, 4, 0), 0))</f>
        <v/>
      </c>
      <c r="G145" s="230" t="str">
        <f ca="1">IF( ISNA( VLOOKUP( APIF_Import!$O145 &amp; APIF_Import!$G$1,Podesavanja!$AA$3:$AD$28, 4, 0)), "", VLOOKUP( APIF_Import!$C145, INDIRECT( "Lookup_" &amp; APIF_Import!$O145), VLOOKUP( APIF_Import!$O145 &amp; APIF_Import!$G$1,Podesavanja!$AA$3:$AD$28, 4, 0), 0))</f>
        <v/>
      </c>
      <c r="H145" s="230" t="str">
        <f ca="1">IF( ISNA( VLOOKUP( APIF_Import!$O145 &amp; APIF_Import!$H$1,Podesavanja!$AA$3:$AD$28, 4, 0)), "", VLOOKUP( APIF_Import!$C145, INDIRECT( "Lookup_" &amp; APIF_Import!$O145), VLOOKUP( APIF_Import!$O145 &amp; APIF_Import!$H$1,Podesavanja!$AA$3:$AD$28, 4, 0), 0))</f>
        <v/>
      </c>
      <c r="I145" s="230" t="str">
        <f ca="1">IF( ISNA( VLOOKUP( APIF_Import!$O145 &amp; APIF_Import!$I$1,Podesavanja!$AA$3:$AD$28, 4, 0)), "", VLOOKUP( APIF_Import!$C145, INDIRECT( "Lookup_" &amp; APIF_Import!$M145:$O145), VLOOKUP( APIF_Import!$O145 &amp; APIF_Import!$I$1,Podesavanja!$AA$3:$AD$28, 4, 0), 0))</f>
        <v/>
      </c>
      <c r="J145" s="230" t="str">
        <f ca="1">IF( ISNA( VLOOKUP( APIF_Import!$O145 &amp; APIF_Import!$J$1,Podesavanja!$AA$3:$AD$28, 4, 0)), "", VLOOKUP( APIF_Import!$C145, INDIRECT( "Lookup_" &amp; APIF_Import!$M145:$O145), VLOOKUP( APIF_Import!$O145 &amp; APIF_Import!$J$1,Podesavanja!$AA$3:$AD$28, 4, 0), 0))</f>
        <v/>
      </c>
      <c r="K145" s="230" t="str">
        <f ca="1">IF( ISNA( VLOOKUP( APIF_Import!$O145 &amp; APIF_Import!$K$1,Podesavanja!$AA$3:$AD$28, 4, 0)), "", VLOOKUP( APIF_Import!$C145, INDIRECT( "Lookup_" &amp; APIF_Import!$M145:$O145), VLOOKUP( APIF_Import!$O145 &amp; APIF_Import!$K$1,Podesavanja!$AA$3:$AD$28, 4, 0), 0))</f>
        <v/>
      </c>
      <c r="L145" s="230" t="str">
        <f ca="1">IF( ISNA( VLOOKUP( APIF_Import!$O145 &amp; APIF_Import!$L$1,Podesavanja!$AA$3:$AD$28, 4, 0)), "", VLOOKUP( APIF_Import!$C145, INDIRECT( "Lookup_" &amp; APIF_Import!$M145:$O145), VLOOKUP( APIF_Import!$O145 &amp; APIF_Import!$L$1,Podesavanja!$AA$3:$AD$28, 4, 0), 0))</f>
        <v/>
      </c>
      <c r="M145" s="230" t="str">
        <f ca="1">IF( ISNA( VLOOKUP( APIF_Import!$O145 &amp; APIF_Import!$M$1,Podesavanja!$AA$3:$AD$28, 4, 0)), "", VLOOKUP( APIF_Import!$C145, INDIRECT( "Lookup_" &amp; APIF_Import!$M145:$O145), VLOOKUP( APIF_Import!$O145 &amp; APIF_Import!$M$1,Podesavanja!$AA$3:$AD$28, 4, 0), 0))</f>
        <v/>
      </c>
      <c r="N145" s="8">
        <v>144</v>
      </c>
      <c r="O145" s="230" t="s">
        <v>2377</v>
      </c>
    </row>
    <row r="146" spans="2:15">
      <c r="B146" s="44">
        <f ca="1">VLOOKUP( APIF_Import!$O146, Podesavanja!$N$3:$Q$9, 4, 0)</f>
        <v>3</v>
      </c>
      <c r="C146" s="229">
        <f ca="1">VLOOKUP( APIF_Import!$N146, Aop!$A$2:$P$456, 4, 0)</f>
        <v>207</v>
      </c>
      <c r="D146" s="230" t="str">
        <f ca="1">IF( ISNA( VLOOKUP( APIF_Import!$O146 &amp; APIF_Import!$D$1,Podesavanja!$AA$3:$AD$28, 4, 0)), "", SUBSTITUTE( VALUE( VLOOKUP( APIF_Import!$C146, INDIRECT( "Lookup_" &amp; APIF_Import!$O146), VLOOKUP( APIF_Import!$O146 &amp; APIF_Import!$D$1,Podesavanja!$AA$3:$AD$28, 4, 0), 0)), ".", ","))</f>
        <v>0</v>
      </c>
      <c r="E146" s="230">
        <f ca="1">IF( ISNA( VLOOKUP( APIF_Import!$O146 &amp; APIF_Import!$E$1,Podesavanja!$AA$3:$AD$28, 4, 0)), "", VLOOKUP( APIF_Import!$C146, INDIRECT( "Lookup_" &amp; APIF_Import!$O146), VLOOKUP( APIF_Import!$O146 &amp; APIF_Import!$E$1,Podesavanja!$AA$3:$AD$28, 4, 0), 0))</f>
        <v>0</v>
      </c>
      <c r="F146" s="230" t="str">
        <f ca="1">IF( ISNA( VLOOKUP( APIF_Import!$O146 &amp; APIF_Import!$F$1,Podesavanja!$AA$3:$AD$28, 4, 0)), "", VLOOKUP( APIF_Import!$C146, INDIRECT( "Lookup_" &amp; APIF_Import!$O146), VLOOKUP( APIF_Import!$O146 &amp; APIF_Import!$F$1,Podesavanja!$AA$3:$AD$28, 4, 0), 0))</f>
        <v/>
      </c>
      <c r="G146" s="230" t="str">
        <f ca="1">IF( ISNA( VLOOKUP( APIF_Import!$O146 &amp; APIF_Import!$G$1,Podesavanja!$AA$3:$AD$28, 4, 0)), "", VLOOKUP( APIF_Import!$C146, INDIRECT( "Lookup_" &amp; APIF_Import!$O146), VLOOKUP( APIF_Import!$O146 &amp; APIF_Import!$G$1,Podesavanja!$AA$3:$AD$28, 4, 0), 0))</f>
        <v/>
      </c>
      <c r="H146" s="230" t="str">
        <f ca="1">IF( ISNA( VLOOKUP( APIF_Import!$O146 &amp; APIF_Import!$H$1,Podesavanja!$AA$3:$AD$28, 4, 0)), "", VLOOKUP( APIF_Import!$C146, INDIRECT( "Lookup_" &amp; APIF_Import!$O146), VLOOKUP( APIF_Import!$O146 &amp; APIF_Import!$H$1,Podesavanja!$AA$3:$AD$28, 4, 0), 0))</f>
        <v/>
      </c>
      <c r="I146" s="230" t="str">
        <f ca="1">IF( ISNA( VLOOKUP( APIF_Import!$O146 &amp; APIF_Import!$I$1,Podesavanja!$AA$3:$AD$28, 4, 0)), "", VLOOKUP( APIF_Import!$C146, INDIRECT( "Lookup_" &amp; APIF_Import!$M146:$O146), VLOOKUP( APIF_Import!$O146 &amp; APIF_Import!$I$1,Podesavanja!$AA$3:$AD$28, 4, 0), 0))</f>
        <v/>
      </c>
      <c r="J146" s="230" t="str">
        <f ca="1">IF( ISNA( VLOOKUP( APIF_Import!$O146 &amp; APIF_Import!$J$1,Podesavanja!$AA$3:$AD$28, 4, 0)), "", VLOOKUP( APIF_Import!$C146, INDIRECT( "Lookup_" &amp; APIF_Import!$M146:$O146), VLOOKUP( APIF_Import!$O146 &amp; APIF_Import!$J$1,Podesavanja!$AA$3:$AD$28, 4, 0), 0))</f>
        <v/>
      </c>
      <c r="K146" s="230" t="str">
        <f ca="1">IF( ISNA( VLOOKUP( APIF_Import!$O146 &amp; APIF_Import!$K$1,Podesavanja!$AA$3:$AD$28, 4, 0)), "", VLOOKUP( APIF_Import!$C146, INDIRECT( "Lookup_" &amp; APIF_Import!$M146:$O146), VLOOKUP( APIF_Import!$O146 &amp; APIF_Import!$K$1,Podesavanja!$AA$3:$AD$28, 4, 0), 0))</f>
        <v/>
      </c>
      <c r="L146" s="230" t="str">
        <f ca="1">IF( ISNA( VLOOKUP( APIF_Import!$O146 &amp; APIF_Import!$L$1,Podesavanja!$AA$3:$AD$28, 4, 0)), "", VLOOKUP( APIF_Import!$C146, INDIRECT( "Lookup_" &amp; APIF_Import!$M146:$O146), VLOOKUP( APIF_Import!$O146 &amp; APIF_Import!$L$1,Podesavanja!$AA$3:$AD$28, 4, 0), 0))</f>
        <v/>
      </c>
      <c r="M146" s="230" t="str">
        <f ca="1">IF( ISNA( VLOOKUP( APIF_Import!$O146 &amp; APIF_Import!$M$1,Podesavanja!$AA$3:$AD$28, 4, 0)), "", VLOOKUP( APIF_Import!$C146, INDIRECT( "Lookup_" &amp; APIF_Import!$M146:$O146), VLOOKUP( APIF_Import!$O146 &amp; APIF_Import!$M$1,Podesavanja!$AA$3:$AD$28, 4, 0), 0))</f>
        <v/>
      </c>
      <c r="N146" s="8">
        <v>145</v>
      </c>
      <c r="O146" s="230" t="s">
        <v>2377</v>
      </c>
    </row>
    <row r="147" spans="2:15">
      <c r="B147" s="44">
        <f ca="1">VLOOKUP( APIF_Import!$O147, Podesavanja!$N$3:$Q$9, 4, 0)</f>
        <v>3</v>
      </c>
      <c r="C147" s="229">
        <f ca="1">VLOOKUP( APIF_Import!$N147, Aop!$A$2:$P$456, 4, 0)</f>
        <v>208</v>
      </c>
      <c r="D147" s="230" t="str">
        <f ca="1">IF( ISNA( VLOOKUP( APIF_Import!$O147 &amp; APIF_Import!$D$1,Podesavanja!$AA$3:$AD$28, 4, 0)), "", SUBSTITUTE( VALUE( VLOOKUP( APIF_Import!$C147, INDIRECT( "Lookup_" &amp; APIF_Import!$O147), VLOOKUP( APIF_Import!$O147 &amp; APIF_Import!$D$1,Podesavanja!$AA$3:$AD$28, 4, 0), 0)), ".", ","))</f>
        <v>0</v>
      </c>
      <c r="E147" s="230">
        <f ca="1">IF( ISNA( VLOOKUP( APIF_Import!$O147 &amp; APIF_Import!$E$1,Podesavanja!$AA$3:$AD$28, 4, 0)), "", VLOOKUP( APIF_Import!$C147, INDIRECT( "Lookup_" &amp; APIF_Import!$O147), VLOOKUP( APIF_Import!$O147 &amp; APIF_Import!$E$1,Podesavanja!$AA$3:$AD$28, 4, 0), 0))</f>
        <v>0</v>
      </c>
      <c r="F147" s="230" t="str">
        <f ca="1">IF( ISNA( VLOOKUP( APIF_Import!$O147 &amp; APIF_Import!$F$1,Podesavanja!$AA$3:$AD$28, 4, 0)), "", VLOOKUP( APIF_Import!$C147, INDIRECT( "Lookup_" &amp; APIF_Import!$O147), VLOOKUP( APIF_Import!$O147 &amp; APIF_Import!$F$1,Podesavanja!$AA$3:$AD$28, 4, 0), 0))</f>
        <v/>
      </c>
      <c r="G147" s="230" t="str">
        <f ca="1">IF( ISNA( VLOOKUP( APIF_Import!$O147 &amp; APIF_Import!$G$1,Podesavanja!$AA$3:$AD$28, 4, 0)), "", VLOOKUP( APIF_Import!$C147, INDIRECT( "Lookup_" &amp; APIF_Import!$O147), VLOOKUP( APIF_Import!$O147 &amp; APIF_Import!$G$1,Podesavanja!$AA$3:$AD$28, 4, 0), 0))</f>
        <v/>
      </c>
      <c r="H147" s="230" t="str">
        <f ca="1">IF( ISNA( VLOOKUP( APIF_Import!$O147 &amp; APIF_Import!$H$1,Podesavanja!$AA$3:$AD$28, 4, 0)), "", VLOOKUP( APIF_Import!$C147, INDIRECT( "Lookup_" &amp; APIF_Import!$O147), VLOOKUP( APIF_Import!$O147 &amp; APIF_Import!$H$1,Podesavanja!$AA$3:$AD$28, 4, 0), 0))</f>
        <v/>
      </c>
      <c r="I147" s="230" t="str">
        <f ca="1">IF( ISNA( VLOOKUP( APIF_Import!$O147 &amp; APIF_Import!$I$1,Podesavanja!$AA$3:$AD$28, 4, 0)), "", VLOOKUP( APIF_Import!$C147, INDIRECT( "Lookup_" &amp; APIF_Import!$M147:$O147), VLOOKUP( APIF_Import!$O147 &amp; APIF_Import!$I$1,Podesavanja!$AA$3:$AD$28, 4, 0), 0))</f>
        <v/>
      </c>
      <c r="J147" s="230" t="str">
        <f ca="1">IF( ISNA( VLOOKUP( APIF_Import!$O147 &amp; APIF_Import!$J$1,Podesavanja!$AA$3:$AD$28, 4, 0)), "", VLOOKUP( APIF_Import!$C147, INDIRECT( "Lookup_" &amp; APIF_Import!$M147:$O147), VLOOKUP( APIF_Import!$O147 &amp; APIF_Import!$J$1,Podesavanja!$AA$3:$AD$28, 4, 0), 0))</f>
        <v/>
      </c>
      <c r="K147" s="230" t="str">
        <f ca="1">IF( ISNA( VLOOKUP( APIF_Import!$O147 &amp; APIF_Import!$K$1,Podesavanja!$AA$3:$AD$28, 4, 0)), "", VLOOKUP( APIF_Import!$C147, INDIRECT( "Lookup_" &amp; APIF_Import!$M147:$O147), VLOOKUP( APIF_Import!$O147 &amp; APIF_Import!$K$1,Podesavanja!$AA$3:$AD$28, 4, 0), 0))</f>
        <v/>
      </c>
      <c r="L147" s="230" t="str">
        <f ca="1">IF( ISNA( VLOOKUP( APIF_Import!$O147 &amp; APIF_Import!$L$1,Podesavanja!$AA$3:$AD$28, 4, 0)), "", VLOOKUP( APIF_Import!$C147, INDIRECT( "Lookup_" &amp; APIF_Import!$M147:$O147), VLOOKUP( APIF_Import!$O147 &amp; APIF_Import!$L$1,Podesavanja!$AA$3:$AD$28, 4, 0), 0))</f>
        <v/>
      </c>
      <c r="M147" s="230" t="str">
        <f ca="1">IF( ISNA( VLOOKUP( APIF_Import!$O147 &amp; APIF_Import!$M$1,Podesavanja!$AA$3:$AD$28, 4, 0)), "", VLOOKUP( APIF_Import!$C147, INDIRECT( "Lookup_" &amp; APIF_Import!$M147:$O147), VLOOKUP( APIF_Import!$O147 &amp; APIF_Import!$M$1,Podesavanja!$AA$3:$AD$28, 4, 0), 0))</f>
        <v/>
      </c>
      <c r="N147" s="8">
        <v>146</v>
      </c>
      <c r="O147" s="230" t="s">
        <v>2377</v>
      </c>
    </row>
    <row r="148" spans="2:15">
      <c r="B148" s="44">
        <f ca="1">VLOOKUP( APIF_Import!$O148, Podesavanja!$N$3:$Q$9, 4, 0)</f>
        <v>3</v>
      </c>
      <c r="C148" s="229">
        <f ca="1">VLOOKUP( APIF_Import!$N148, Aop!$A$2:$P$456, 4, 0)</f>
        <v>209</v>
      </c>
      <c r="D148" s="230" t="str">
        <f ca="1">IF( ISNA( VLOOKUP( APIF_Import!$O148 &amp; APIF_Import!$D$1,Podesavanja!$AA$3:$AD$28, 4, 0)), "", SUBSTITUTE( VALUE( VLOOKUP( APIF_Import!$C148, INDIRECT( "Lookup_" &amp; APIF_Import!$O148), VLOOKUP( APIF_Import!$O148 &amp; APIF_Import!$D$1,Podesavanja!$AA$3:$AD$28, 4, 0), 0)), ".", ","))</f>
        <v>0</v>
      </c>
      <c r="E148" s="230">
        <f ca="1">IF( ISNA( VLOOKUP( APIF_Import!$O148 &amp; APIF_Import!$E$1,Podesavanja!$AA$3:$AD$28, 4, 0)), "", VLOOKUP( APIF_Import!$C148, INDIRECT( "Lookup_" &amp; APIF_Import!$O148), VLOOKUP( APIF_Import!$O148 &amp; APIF_Import!$E$1,Podesavanja!$AA$3:$AD$28, 4, 0), 0))</f>
        <v>0</v>
      </c>
      <c r="F148" s="230" t="str">
        <f ca="1">IF( ISNA( VLOOKUP( APIF_Import!$O148 &amp; APIF_Import!$F$1,Podesavanja!$AA$3:$AD$28, 4, 0)), "", VLOOKUP( APIF_Import!$C148, INDIRECT( "Lookup_" &amp; APIF_Import!$O148), VLOOKUP( APIF_Import!$O148 &amp; APIF_Import!$F$1,Podesavanja!$AA$3:$AD$28, 4, 0), 0))</f>
        <v/>
      </c>
      <c r="G148" s="230" t="str">
        <f ca="1">IF( ISNA( VLOOKUP( APIF_Import!$O148 &amp; APIF_Import!$G$1,Podesavanja!$AA$3:$AD$28, 4, 0)), "", VLOOKUP( APIF_Import!$C148, INDIRECT( "Lookup_" &amp; APIF_Import!$O148), VLOOKUP( APIF_Import!$O148 &amp; APIF_Import!$G$1,Podesavanja!$AA$3:$AD$28, 4, 0), 0))</f>
        <v/>
      </c>
      <c r="H148" s="230" t="str">
        <f ca="1">IF( ISNA( VLOOKUP( APIF_Import!$O148 &amp; APIF_Import!$H$1,Podesavanja!$AA$3:$AD$28, 4, 0)), "", VLOOKUP( APIF_Import!$C148, INDIRECT( "Lookup_" &amp; APIF_Import!$O148), VLOOKUP( APIF_Import!$O148 &amp; APIF_Import!$H$1,Podesavanja!$AA$3:$AD$28, 4, 0), 0))</f>
        <v/>
      </c>
      <c r="I148" s="230" t="str">
        <f ca="1">IF( ISNA( VLOOKUP( APIF_Import!$O148 &amp; APIF_Import!$I$1,Podesavanja!$AA$3:$AD$28, 4, 0)), "", VLOOKUP( APIF_Import!$C148, INDIRECT( "Lookup_" &amp; APIF_Import!$M148:$O148), VLOOKUP( APIF_Import!$O148 &amp; APIF_Import!$I$1,Podesavanja!$AA$3:$AD$28, 4, 0), 0))</f>
        <v/>
      </c>
      <c r="J148" s="230" t="str">
        <f ca="1">IF( ISNA( VLOOKUP( APIF_Import!$O148 &amp; APIF_Import!$J$1,Podesavanja!$AA$3:$AD$28, 4, 0)), "", VLOOKUP( APIF_Import!$C148, INDIRECT( "Lookup_" &amp; APIF_Import!$M148:$O148), VLOOKUP( APIF_Import!$O148 &amp; APIF_Import!$J$1,Podesavanja!$AA$3:$AD$28, 4, 0), 0))</f>
        <v/>
      </c>
      <c r="K148" s="230" t="str">
        <f ca="1">IF( ISNA( VLOOKUP( APIF_Import!$O148 &amp; APIF_Import!$K$1,Podesavanja!$AA$3:$AD$28, 4, 0)), "", VLOOKUP( APIF_Import!$C148, INDIRECT( "Lookup_" &amp; APIF_Import!$M148:$O148), VLOOKUP( APIF_Import!$O148 &amp; APIF_Import!$K$1,Podesavanja!$AA$3:$AD$28, 4, 0), 0))</f>
        <v/>
      </c>
      <c r="L148" s="230" t="str">
        <f ca="1">IF( ISNA( VLOOKUP( APIF_Import!$O148 &amp; APIF_Import!$L$1,Podesavanja!$AA$3:$AD$28, 4, 0)), "", VLOOKUP( APIF_Import!$C148, INDIRECT( "Lookup_" &amp; APIF_Import!$M148:$O148), VLOOKUP( APIF_Import!$O148 &amp; APIF_Import!$L$1,Podesavanja!$AA$3:$AD$28, 4, 0), 0))</f>
        <v/>
      </c>
      <c r="M148" s="230" t="str">
        <f ca="1">IF( ISNA( VLOOKUP( APIF_Import!$O148 &amp; APIF_Import!$M$1,Podesavanja!$AA$3:$AD$28, 4, 0)), "", VLOOKUP( APIF_Import!$C148, INDIRECT( "Lookup_" &amp; APIF_Import!$M148:$O148), VLOOKUP( APIF_Import!$O148 &amp; APIF_Import!$M$1,Podesavanja!$AA$3:$AD$28, 4, 0), 0))</f>
        <v/>
      </c>
      <c r="N148" s="8">
        <v>147</v>
      </c>
      <c r="O148" s="230" t="s">
        <v>2377</v>
      </c>
    </row>
    <row r="149" spans="2:15">
      <c r="B149" s="44">
        <f ca="1">VLOOKUP( APIF_Import!$O149, Podesavanja!$N$3:$Q$9, 4, 0)</f>
        <v>3</v>
      </c>
      <c r="C149" s="229">
        <f ca="1">VLOOKUP( APIF_Import!$N149, Aop!$A$2:$P$456, 4, 0)</f>
        <v>210</v>
      </c>
      <c r="D149" s="230" t="str">
        <f ca="1">IF( ISNA( VLOOKUP( APIF_Import!$O149 &amp; APIF_Import!$D$1,Podesavanja!$AA$3:$AD$28, 4, 0)), "", SUBSTITUTE( VALUE( VLOOKUP( APIF_Import!$C149, INDIRECT( "Lookup_" &amp; APIF_Import!$O149), VLOOKUP( APIF_Import!$O149 &amp; APIF_Import!$D$1,Podesavanja!$AA$3:$AD$28, 4, 0), 0)), ".", ","))</f>
        <v>225788</v>
      </c>
      <c r="E149" s="230">
        <f ca="1">IF( ISNA( VLOOKUP( APIF_Import!$O149 &amp; APIF_Import!$E$1,Podesavanja!$AA$3:$AD$28, 4, 0)), "", VLOOKUP( APIF_Import!$C149, INDIRECT( "Lookup_" &amp; APIF_Import!$O149), VLOOKUP( APIF_Import!$O149 &amp; APIF_Import!$E$1,Podesavanja!$AA$3:$AD$28, 4, 0), 0))</f>
        <v>446576</v>
      </c>
      <c r="F149" s="230" t="str">
        <f ca="1">IF( ISNA( VLOOKUP( APIF_Import!$O149 &amp; APIF_Import!$F$1,Podesavanja!$AA$3:$AD$28, 4, 0)), "", VLOOKUP( APIF_Import!$C149, INDIRECT( "Lookup_" &amp; APIF_Import!$O149), VLOOKUP( APIF_Import!$O149 &amp; APIF_Import!$F$1,Podesavanja!$AA$3:$AD$28, 4, 0), 0))</f>
        <v/>
      </c>
      <c r="G149" s="230" t="str">
        <f ca="1">IF( ISNA( VLOOKUP( APIF_Import!$O149 &amp; APIF_Import!$G$1,Podesavanja!$AA$3:$AD$28, 4, 0)), "", VLOOKUP( APIF_Import!$C149, INDIRECT( "Lookup_" &amp; APIF_Import!$O149), VLOOKUP( APIF_Import!$O149 &amp; APIF_Import!$G$1,Podesavanja!$AA$3:$AD$28, 4, 0), 0))</f>
        <v/>
      </c>
      <c r="H149" s="230" t="str">
        <f ca="1">IF( ISNA( VLOOKUP( APIF_Import!$O149 &amp; APIF_Import!$H$1,Podesavanja!$AA$3:$AD$28, 4, 0)), "", VLOOKUP( APIF_Import!$C149, INDIRECT( "Lookup_" &amp; APIF_Import!$O149), VLOOKUP( APIF_Import!$O149 &amp; APIF_Import!$H$1,Podesavanja!$AA$3:$AD$28, 4, 0), 0))</f>
        <v/>
      </c>
      <c r="I149" s="230" t="str">
        <f ca="1">IF( ISNA( VLOOKUP( APIF_Import!$O149 &amp; APIF_Import!$I$1,Podesavanja!$AA$3:$AD$28, 4, 0)), "", VLOOKUP( APIF_Import!$C149, INDIRECT( "Lookup_" &amp; APIF_Import!$M149:$O149), VLOOKUP( APIF_Import!$O149 &amp; APIF_Import!$I$1,Podesavanja!$AA$3:$AD$28, 4, 0), 0))</f>
        <v/>
      </c>
      <c r="J149" s="230" t="str">
        <f ca="1">IF( ISNA( VLOOKUP( APIF_Import!$O149 &amp; APIF_Import!$J$1,Podesavanja!$AA$3:$AD$28, 4, 0)), "", VLOOKUP( APIF_Import!$C149, INDIRECT( "Lookup_" &amp; APIF_Import!$M149:$O149), VLOOKUP( APIF_Import!$O149 &amp; APIF_Import!$J$1,Podesavanja!$AA$3:$AD$28, 4, 0), 0))</f>
        <v/>
      </c>
      <c r="K149" s="230" t="str">
        <f ca="1">IF( ISNA( VLOOKUP( APIF_Import!$O149 &amp; APIF_Import!$K$1,Podesavanja!$AA$3:$AD$28, 4, 0)), "", VLOOKUP( APIF_Import!$C149, INDIRECT( "Lookup_" &amp; APIF_Import!$M149:$O149), VLOOKUP( APIF_Import!$O149 &amp; APIF_Import!$K$1,Podesavanja!$AA$3:$AD$28, 4, 0), 0))</f>
        <v/>
      </c>
      <c r="L149" s="230" t="str">
        <f ca="1">IF( ISNA( VLOOKUP( APIF_Import!$O149 &amp; APIF_Import!$L$1,Podesavanja!$AA$3:$AD$28, 4, 0)), "", VLOOKUP( APIF_Import!$C149, INDIRECT( "Lookup_" &amp; APIF_Import!$M149:$O149), VLOOKUP( APIF_Import!$O149 &amp; APIF_Import!$L$1,Podesavanja!$AA$3:$AD$28, 4, 0), 0))</f>
        <v/>
      </c>
      <c r="M149" s="230" t="str">
        <f ca="1">IF( ISNA( VLOOKUP( APIF_Import!$O149 &amp; APIF_Import!$M$1,Podesavanja!$AA$3:$AD$28, 4, 0)), "", VLOOKUP( APIF_Import!$C149, INDIRECT( "Lookup_" &amp; APIF_Import!$M149:$O149), VLOOKUP( APIF_Import!$O149 &amp; APIF_Import!$M$1,Podesavanja!$AA$3:$AD$28, 4, 0), 0))</f>
        <v/>
      </c>
      <c r="N149" s="8">
        <v>148</v>
      </c>
      <c r="O149" s="230" t="s">
        <v>2377</v>
      </c>
    </row>
    <row r="150" spans="2:15">
      <c r="B150" s="44">
        <f ca="1">VLOOKUP( APIF_Import!$O150, Podesavanja!$N$3:$Q$9, 4, 0)</f>
        <v>3</v>
      </c>
      <c r="C150" s="229">
        <f ca="1">VLOOKUP( APIF_Import!$N150, Aop!$A$2:$P$456, 4, 0)</f>
        <v>211</v>
      </c>
      <c r="D150" s="230" t="str">
        <f ca="1">IF( ISNA( VLOOKUP( APIF_Import!$O150 &amp; APIF_Import!$D$1,Podesavanja!$AA$3:$AD$28, 4, 0)), "", SUBSTITUTE( VALUE( VLOOKUP( APIF_Import!$C150, INDIRECT( "Lookup_" &amp; APIF_Import!$O150), VLOOKUP( APIF_Import!$O150 &amp; APIF_Import!$D$1,Podesavanja!$AA$3:$AD$28, 4, 0), 0)), ".", ","))</f>
        <v>225788</v>
      </c>
      <c r="E150" s="230">
        <f ca="1">IF( ISNA( VLOOKUP( APIF_Import!$O150 &amp; APIF_Import!$E$1,Podesavanja!$AA$3:$AD$28, 4, 0)), "", VLOOKUP( APIF_Import!$C150, INDIRECT( "Lookup_" &amp; APIF_Import!$O150), VLOOKUP( APIF_Import!$O150 &amp; APIF_Import!$E$1,Podesavanja!$AA$3:$AD$28, 4, 0), 0))</f>
        <v>446576</v>
      </c>
      <c r="F150" s="230" t="str">
        <f ca="1">IF( ISNA( VLOOKUP( APIF_Import!$O150 &amp; APIF_Import!$F$1,Podesavanja!$AA$3:$AD$28, 4, 0)), "", VLOOKUP( APIF_Import!$C150, INDIRECT( "Lookup_" &amp; APIF_Import!$O150), VLOOKUP( APIF_Import!$O150 &amp; APIF_Import!$F$1,Podesavanja!$AA$3:$AD$28, 4, 0), 0))</f>
        <v/>
      </c>
      <c r="G150" s="230" t="str">
        <f ca="1">IF( ISNA( VLOOKUP( APIF_Import!$O150 &amp; APIF_Import!$G$1,Podesavanja!$AA$3:$AD$28, 4, 0)), "", VLOOKUP( APIF_Import!$C150, INDIRECT( "Lookup_" &amp; APIF_Import!$O150), VLOOKUP( APIF_Import!$O150 &amp; APIF_Import!$G$1,Podesavanja!$AA$3:$AD$28, 4, 0), 0))</f>
        <v/>
      </c>
      <c r="H150" s="230" t="str">
        <f ca="1">IF( ISNA( VLOOKUP( APIF_Import!$O150 &amp; APIF_Import!$H$1,Podesavanja!$AA$3:$AD$28, 4, 0)), "", VLOOKUP( APIF_Import!$C150, INDIRECT( "Lookup_" &amp; APIF_Import!$O150), VLOOKUP( APIF_Import!$O150 &amp; APIF_Import!$H$1,Podesavanja!$AA$3:$AD$28, 4, 0), 0))</f>
        <v/>
      </c>
      <c r="I150" s="230" t="str">
        <f ca="1">IF( ISNA( VLOOKUP( APIF_Import!$O150 &amp; APIF_Import!$I$1,Podesavanja!$AA$3:$AD$28, 4, 0)), "", VLOOKUP( APIF_Import!$C150, INDIRECT( "Lookup_" &amp; APIF_Import!$M150:$O150), VLOOKUP( APIF_Import!$O150 &amp; APIF_Import!$I$1,Podesavanja!$AA$3:$AD$28, 4, 0), 0))</f>
        <v/>
      </c>
      <c r="J150" s="230" t="str">
        <f ca="1">IF( ISNA( VLOOKUP( APIF_Import!$O150 &amp; APIF_Import!$J$1,Podesavanja!$AA$3:$AD$28, 4, 0)), "", VLOOKUP( APIF_Import!$C150, INDIRECT( "Lookup_" &amp; APIF_Import!$M150:$O150), VLOOKUP( APIF_Import!$O150 &amp; APIF_Import!$J$1,Podesavanja!$AA$3:$AD$28, 4, 0), 0))</f>
        <v/>
      </c>
      <c r="K150" s="230" t="str">
        <f ca="1">IF( ISNA( VLOOKUP( APIF_Import!$O150 &amp; APIF_Import!$K$1,Podesavanja!$AA$3:$AD$28, 4, 0)), "", VLOOKUP( APIF_Import!$C150, INDIRECT( "Lookup_" &amp; APIF_Import!$M150:$O150), VLOOKUP( APIF_Import!$O150 &amp; APIF_Import!$K$1,Podesavanja!$AA$3:$AD$28, 4, 0), 0))</f>
        <v/>
      </c>
      <c r="L150" s="230" t="str">
        <f ca="1">IF( ISNA( VLOOKUP( APIF_Import!$O150 &amp; APIF_Import!$L$1,Podesavanja!$AA$3:$AD$28, 4, 0)), "", VLOOKUP( APIF_Import!$C150, INDIRECT( "Lookup_" &amp; APIF_Import!$M150:$O150), VLOOKUP( APIF_Import!$O150 &amp; APIF_Import!$L$1,Podesavanja!$AA$3:$AD$28, 4, 0), 0))</f>
        <v/>
      </c>
      <c r="M150" s="230" t="str">
        <f ca="1">IF( ISNA( VLOOKUP( APIF_Import!$O150 &amp; APIF_Import!$M$1,Podesavanja!$AA$3:$AD$28, 4, 0)), "", VLOOKUP( APIF_Import!$C150, INDIRECT( "Lookup_" &amp; APIF_Import!$M150:$O150), VLOOKUP( APIF_Import!$O150 &amp; APIF_Import!$M$1,Podesavanja!$AA$3:$AD$28, 4, 0), 0))</f>
        <v/>
      </c>
      <c r="N150" s="8">
        <v>149</v>
      </c>
      <c r="O150" s="230" t="s">
        <v>2377</v>
      </c>
    </row>
    <row r="151" spans="2:15">
      <c r="B151" s="44">
        <f ca="1">VLOOKUP( APIF_Import!$O151, Podesavanja!$N$3:$Q$9, 4, 0)</f>
        <v>3</v>
      </c>
      <c r="C151" s="229">
        <f ca="1">VLOOKUP( APIF_Import!$N151, Aop!$A$2:$P$456, 4, 0)</f>
        <v>212</v>
      </c>
      <c r="D151" s="230" t="str">
        <f ca="1">IF( ISNA( VLOOKUP( APIF_Import!$O151 &amp; APIF_Import!$D$1,Podesavanja!$AA$3:$AD$28, 4, 0)), "", SUBSTITUTE( VALUE( VLOOKUP( APIF_Import!$C151, INDIRECT( "Lookup_" &amp; APIF_Import!$O151), VLOOKUP( APIF_Import!$O151 &amp; APIF_Import!$D$1,Podesavanja!$AA$3:$AD$28, 4, 0), 0)), ".", ","))</f>
        <v>0</v>
      </c>
      <c r="E151" s="230">
        <f ca="1">IF( ISNA( VLOOKUP( APIF_Import!$O151 &amp; APIF_Import!$E$1,Podesavanja!$AA$3:$AD$28, 4, 0)), "", VLOOKUP( APIF_Import!$C151, INDIRECT( "Lookup_" &amp; APIF_Import!$O151), VLOOKUP( APIF_Import!$O151 &amp; APIF_Import!$E$1,Podesavanja!$AA$3:$AD$28, 4, 0), 0))</f>
        <v>0</v>
      </c>
      <c r="F151" s="230" t="str">
        <f ca="1">IF( ISNA( VLOOKUP( APIF_Import!$O151 &amp; APIF_Import!$F$1,Podesavanja!$AA$3:$AD$28, 4, 0)), "", VLOOKUP( APIF_Import!$C151, INDIRECT( "Lookup_" &amp; APIF_Import!$O151), VLOOKUP( APIF_Import!$O151 &amp; APIF_Import!$F$1,Podesavanja!$AA$3:$AD$28, 4, 0), 0))</f>
        <v/>
      </c>
      <c r="G151" s="230" t="str">
        <f ca="1">IF( ISNA( VLOOKUP( APIF_Import!$O151 &amp; APIF_Import!$G$1,Podesavanja!$AA$3:$AD$28, 4, 0)), "", VLOOKUP( APIF_Import!$C151, INDIRECT( "Lookup_" &amp; APIF_Import!$O151), VLOOKUP( APIF_Import!$O151 &amp; APIF_Import!$G$1,Podesavanja!$AA$3:$AD$28, 4, 0), 0))</f>
        <v/>
      </c>
      <c r="H151" s="230" t="str">
        <f ca="1">IF( ISNA( VLOOKUP( APIF_Import!$O151 &amp; APIF_Import!$H$1,Podesavanja!$AA$3:$AD$28, 4, 0)), "", VLOOKUP( APIF_Import!$C151, INDIRECT( "Lookup_" &amp; APIF_Import!$O151), VLOOKUP( APIF_Import!$O151 &amp; APIF_Import!$H$1,Podesavanja!$AA$3:$AD$28, 4, 0), 0))</f>
        <v/>
      </c>
      <c r="I151" s="230" t="str">
        <f ca="1">IF( ISNA( VLOOKUP( APIF_Import!$O151 &amp; APIF_Import!$I$1,Podesavanja!$AA$3:$AD$28, 4, 0)), "", VLOOKUP( APIF_Import!$C151, INDIRECT( "Lookup_" &amp; APIF_Import!$M151:$O151), VLOOKUP( APIF_Import!$O151 &amp; APIF_Import!$I$1,Podesavanja!$AA$3:$AD$28, 4, 0), 0))</f>
        <v/>
      </c>
      <c r="J151" s="230" t="str">
        <f ca="1">IF( ISNA( VLOOKUP( APIF_Import!$O151 &amp; APIF_Import!$J$1,Podesavanja!$AA$3:$AD$28, 4, 0)), "", VLOOKUP( APIF_Import!$C151, INDIRECT( "Lookup_" &amp; APIF_Import!$M151:$O151), VLOOKUP( APIF_Import!$O151 &amp; APIF_Import!$J$1,Podesavanja!$AA$3:$AD$28, 4, 0), 0))</f>
        <v/>
      </c>
      <c r="K151" s="230" t="str">
        <f ca="1">IF( ISNA( VLOOKUP( APIF_Import!$O151 &amp; APIF_Import!$K$1,Podesavanja!$AA$3:$AD$28, 4, 0)), "", VLOOKUP( APIF_Import!$C151, INDIRECT( "Lookup_" &amp; APIF_Import!$M151:$O151), VLOOKUP( APIF_Import!$O151 &amp; APIF_Import!$K$1,Podesavanja!$AA$3:$AD$28, 4, 0), 0))</f>
        <v/>
      </c>
      <c r="L151" s="230" t="str">
        <f ca="1">IF( ISNA( VLOOKUP( APIF_Import!$O151 &amp; APIF_Import!$L$1,Podesavanja!$AA$3:$AD$28, 4, 0)), "", VLOOKUP( APIF_Import!$C151, INDIRECT( "Lookup_" &amp; APIF_Import!$M151:$O151), VLOOKUP( APIF_Import!$O151 &amp; APIF_Import!$L$1,Podesavanja!$AA$3:$AD$28, 4, 0), 0))</f>
        <v/>
      </c>
      <c r="M151" s="230" t="str">
        <f ca="1">IF( ISNA( VLOOKUP( APIF_Import!$O151 &amp; APIF_Import!$M$1,Podesavanja!$AA$3:$AD$28, 4, 0)), "", VLOOKUP( APIF_Import!$C151, INDIRECT( "Lookup_" &amp; APIF_Import!$M151:$O151), VLOOKUP( APIF_Import!$O151 &amp; APIF_Import!$M$1,Podesavanja!$AA$3:$AD$28, 4, 0), 0))</f>
        <v/>
      </c>
      <c r="N151" s="8">
        <v>150</v>
      </c>
      <c r="O151" s="230" t="s">
        <v>2377</v>
      </c>
    </row>
    <row r="152" spans="2:15">
      <c r="B152" s="44">
        <f ca="1">VLOOKUP( APIF_Import!$O152, Podesavanja!$N$3:$Q$9, 4, 0)</f>
        <v>3</v>
      </c>
      <c r="C152" s="229">
        <f ca="1">VLOOKUP( APIF_Import!$N152, Aop!$A$2:$P$456, 4, 0)</f>
        <v>213</v>
      </c>
      <c r="D152" s="230" t="str">
        <f ca="1">IF( ISNA( VLOOKUP( APIF_Import!$O152 &amp; APIF_Import!$D$1,Podesavanja!$AA$3:$AD$28, 4, 0)), "", SUBSTITUTE( VALUE( VLOOKUP( APIF_Import!$C152, INDIRECT( "Lookup_" &amp; APIF_Import!$O152), VLOOKUP( APIF_Import!$O152 &amp; APIF_Import!$D$1,Podesavanja!$AA$3:$AD$28, 4, 0), 0)), ".", ","))</f>
        <v>0</v>
      </c>
      <c r="E152" s="230">
        <f ca="1">IF( ISNA( VLOOKUP( APIF_Import!$O152 &amp; APIF_Import!$E$1,Podesavanja!$AA$3:$AD$28, 4, 0)), "", VLOOKUP( APIF_Import!$C152, INDIRECT( "Lookup_" &amp; APIF_Import!$O152), VLOOKUP( APIF_Import!$O152 &amp; APIF_Import!$E$1,Podesavanja!$AA$3:$AD$28, 4, 0), 0))</f>
        <v>0</v>
      </c>
      <c r="F152" s="230" t="str">
        <f ca="1">IF( ISNA( VLOOKUP( APIF_Import!$O152 &amp; APIF_Import!$F$1,Podesavanja!$AA$3:$AD$28, 4, 0)), "", VLOOKUP( APIF_Import!$C152, INDIRECT( "Lookup_" &amp; APIF_Import!$O152), VLOOKUP( APIF_Import!$O152 &amp; APIF_Import!$F$1,Podesavanja!$AA$3:$AD$28, 4, 0), 0))</f>
        <v/>
      </c>
      <c r="G152" s="230" t="str">
        <f ca="1">IF( ISNA( VLOOKUP( APIF_Import!$O152 &amp; APIF_Import!$G$1,Podesavanja!$AA$3:$AD$28, 4, 0)), "", VLOOKUP( APIF_Import!$C152, INDIRECT( "Lookup_" &amp; APIF_Import!$O152), VLOOKUP( APIF_Import!$O152 &amp; APIF_Import!$G$1,Podesavanja!$AA$3:$AD$28, 4, 0), 0))</f>
        <v/>
      </c>
      <c r="H152" s="230" t="str">
        <f ca="1">IF( ISNA( VLOOKUP( APIF_Import!$O152 &amp; APIF_Import!$H$1,Podesavanja!$AA$3:$AD$28, 4, 0)), "", VLOOKUP( APIF_Import!$C152, INDIRECT( "Lookup_" &amp; APIF_Import!$O152), VLOOKUP( APIF_Import!$O152 &amp; APIF_Import!$H$1,Podesavanja!$AA$3:$AD$28, 4, 0), 0))</f>
        <v/>
      </c>
      <c r="I152" s="230" t="str">
        <f ca="1">IF( ISNA( VLOOKUP( APIF_Import!$O152 &amp; APIF_Import!$I$1,Podesavanja!$AA$3:$AD$28, 4, 0)), "", VLOOKUP( APIF_Import!$C152, INDIRECT( "Lookup_" &amp; APIF_Import!$M152:$O152), VLOOKUP( APIF_Import!$O152 &amp; APIF_Import!$I$1,Podesavanja!$AA$3:$AD$28, 4, 0), 0))</f>
        <v/>
      </c>
      <c r="J152" s="230" t="str">
        <f ca="1">IF( ISNA( VLOOKUP( APIF_Import!$O152 &amp; APIF_Import!$J$1,Podesavanja!$AA$3:$AD$28, 4, 0)), "", VLOOKUP( APIF_Import!$C152, INDIRECT( "Lookup_" &amp; APIF_Import!$M152:$O152), VLOOKUP( APIF_Import!$O152 &amp; APIF_Import!$J$1,Podesavanja!$AA$3:$AD$28, 4, 0), 0))</f>
        <v/>
      </c>
      <c r="K152" s="230" t="str">
        <f ca="1">IF( ISNA( VLOOKUP( APIF_Import!$O152 &amp; APIF_Import!$K$1,Podesavanja!$AA$3:$AD$28, 4, 0)), "", VLOOKUP( APIF_Import!$C152, INDIRECT( "Lookup_" &amp; APIF_Import!$M152:$O152), VLOOKUP( APIF_Import!$O152 &amp; APIF_Import!$K$1,Podesavanja!$AA$3:$AD$28, 4, 0), 0))</f>
        <v/>
      </c>
      <c r="L152" s="230" t="str">
        <f ca="1">IF( ISNA( VLOOKUP( APIF_Import!$O152 &amp; APIF_Import!$L$1,Podesavanja!$AA$3:$AD$28, 4, 0)), "", VLOOKUP( APIF_Import!$C152, INDIRECT( "Lookup_" &amp; APIF_Import!$M152:$O152), VLOOKUP( APIF_Import!$O152 &amp; APIF_Import!$L$1,Podesavanja!$AA$3:$AD$28, 4, 0), 0))</f>
        <v/>
      </c>
      <c r="M152" s="230" t="str">
        <f ca="1">IF( ISNA( VLOOKUP( APIF_Import!$O152 &amp; APIF_Import!$M$1,Podesavanja!$AA$3:$AD$28, 4, 0)), "", VLOOKUP( APIF_Import!$C152, INDIRECT( "Lookup_" &amp; APIF_Import!$M152:$O152), VLOOKUP( APIF_Import!$O152 &amp; APIF_Import!$M$1,Podesavanja!$AA$3:$AD$28, 4, 0), 0))</f>
        <v/>
      </c>
      <c r="N152" s="8">
        <v>151</v>
      </c>
      <c r="O152" s="230" t="s">
        <v>2377</v>
      </c>
    </row>
    <row r="153" spans="2:15">
      <c r="B153" s="44">
        <f ca="1">VLOOKUP( APIF_Import!$O153, Podesavanja!$N$3:$Q$9, 4, 0)</f>
        <v>3</v>
      </c>
      <c r="C153" s="229">
        <f ca="1">VLOOKUP( APIF_Import!$N153, Aop!$A$2:$P$456, 4, 0)</f>
        <v>214</v>
      </c>
      <c r="D153" s="230" t="str">
        <f ca="1">IF( ISNA( VLOOKUP( APIF_Import!$O153 &amp; APIF_Import!$D$1,Podesavanja!$AA$3:$AD$28, 4, 0)), "", SUBSTITUTE( VALUE( VLOOKUP( APIF_Import!$C153, INDIRECT( "Lookup_" &amp; APIF_Import!$O153), VLOOKUP( APIF_Import!$O153 &amp; APIF_Import!$D$1,Podesavanja!$AA$3:$AD$28, 4, 0), 0)), ".", ","))</f>
        <v>0</v>
      </c>
      <c r="E153" s="230">
        <f ca="1">IF( ISNA( VLOOKUP( APIF_Import!$O153 &amp; APIF_Import!$E$1,Podesavanja!$AA$3:$AD$28, 4, 0)), "", VLOOKUP( APIF_Import!$C153, INDIRECT( "Lookup_" &amp; APIF_Import!$O153), VLOOKUP( APIF_Import!$O153 &amp; APIF_Import!$E$1,Podesavanja!$AA$3:$AD$28, 4, 0), 0))</f>
        <v>0</v>
      </c>
      <c r="F153" s="230" t="str">
        <f ca="1">IF( ISNA( VLOOKUP( APIF_Import!$O153 &amp; APIF_Import!$F$1,Podesavanja!$AA$3:$AD$28, 4, 0)), "", VLOOKUP( APIF_Import!$C153, INDIRECT( "Lookup_" &amp; APIF_Import!$O153), VLOOKUP( APIF_Import!$O153 &amp; APIF_Import!$F$1,Podesavanja!$AA$3:$AD$28, 4, 0), 0))</f>
        <v/>
      </c>
      <c r="G153" s="230" t="str">
        <f ca="1">IF( ISNA( VLOOKUP( APIF_Import!$O153 &amp; APIF_Import!$G$1,Podesavanja!$AA$3:$AD$28, 4, 0)), "", VLOOKUP( APIF_Import!$C153, INDIRECT( "Lookup_" &amp; APIF_Import!$O153), VLOOKUP( APIF_Import!$O153 &amp; APIF_Import!$G$1,Podesavanja!$AA$3:$AD$28, 4, 0), 0))</f>
        <v/>
      </c>
      <c r="H153" s="230" t="str">
        <f ca="1">IF( ISNA( VLOOKUP( APIF_Import!$O153 &amp; APIF_Import!$H$1,Podesavanja!$AA$3:$AD$28, 4, 0)), "", VLOOKUP( APIF_Import!$C153, INDIRECT( "Lookup_" &amp; APIF_Import!$O153), VLOOKUP( APIF_Import!$O153 &amp; APIF_Import!$H$1,Podesavanja!$AA$3:$AD$28, 4, 0), 0))</f>
        <v/>
      </c>
      <c r="I153" s="230" t="str">
        <f ca="1">IF( ISNA( VLOOKUP( APIF_Import!$O153 &amp; APIF_Import!$I$1,Podesavanja!$AA$3:$AD$28, 4, 0)), "", VLOOKUP( APIF_Import!$C153, INDIRECT( "Lookup_" &amp; APIF_Import!$M153:$O153), VLOOKUP( APIF_Import!$O153 &amp; APIF_Import!$I$1,Podesavanja!$AA$3:$AD$28, 4, 0), 0))</f>
        <v/>
      </c>
      <c r="J153" s="230" t="str">
        <f ca="1">IF( ISNA( VLOOKUP( APIF_Import!$O153 &amp; APIF_Import!$J$1,Podesavanja!$AA$3:$AD$28, 4, 0)), "", VLOOKUP( APIF_Import!$C153, INDIRECT( "Lookup_" &amp; APIF_Import!$M153:$O153), VLOOKUP( APIF_Import!$O153 &amp; APIF_Import!$J$1,Podesavanja!$AA$3:$AD$28, 4, 0), 0))</f>
        <v/>
      </c>
      <c r="K153" s="230" t="str">
        <f ca="1">IF( ISNA( VLOOKUP( APIF_Import!$O153 &amp; APIF_Import!$K$1,Podesavanja!$AA$3:$AD$28, 4, 0)), "", VLOOKUP( APIF_Import!$C153, INDIRECT( "Lookup_" &amp; APIF_Import!$M153:$O153), VLOOKUP( APIF_Import!$O153 &amp; APIF_Import!$K$1,Podesavanja!$AA$3:$AD$28, 4, 0), 0))</f>
        <v/>
      </c>
      <c r="L153" s="230" t="str">
        <f ca="1">IF( ISNA( VLOOKUP( APIF_Import!$O153 &amp; APIF_Import!$L$1,Podesavanja!$AA$3:$AD$28, 4, 0)), "", VLOOKUP( APIF_Import!$C153, INDIRECT( "Lookup_" &amp; APIF_Import!$M153:$O153), VLOOKUP( APIF_Import!$O153 &amp; APIF_Import!$L$1,Podesavanja!$AA$3:$AD$28, 4, 0), 0))</f>
        <v/>
      </c>
      <c r="M153" s="230" t="str">
        <f ca="1">IF( ISNA( VLOOKUP( APIF_Import!$O153 &amp; APIF_Import!$M$1,Podesavanja!$AA$3:$AD$28, 4, 0)), "", VLOOKUP( APIF_Import!$C153, INDIRECT( "Lookup_" &amp; APIF_Import!$M153:$O153), VLOOKUP( APIF_Import!$O153 &amp; APIF_Import!$M$1,Podesavanja!$AA$3:$AD$28, 4, 0), 0))</f>
        <v/>
      </c>
      <c r="N153" s="8">
        <v>152</v>
      </c>
      <c r="O153" s="230" t="s">
        <v>2377</v>
      </c>
    </row>
    <row r="154" spans="2:15">
      <c r="B154" s="44">
        <f ca="1">VLOOKUP( APIF_Import!$O154, Podesavanja!$N$3:$Q$9, 4, 0)</f>
        <v>3</v>
      </c>
      <c r="C154" s="229">
        <f ca="1">VLOOKUP( APIF_Import!$N154, Aop!$A$2:$P$456, 4, 0)</f>
        <v>215</v>
      </c>
      <c r="D154" s="230" t="str">
        <f ca="1">IF( ISNA( VLOOKUP( APIF_Import!$O154 &amp; APIF_Import!$D$1,Podesavanja!$AA$3:$AD$28, 4, 0)), "", SUBSTITUTE( VALUE( VLOOKUP( APIF_Import!$C154, INDIRECT( "Lookup_" &amp; APIF_Import!$O154), VLOOKUP( APIF_Import!$O154 &amp; APIF_Import!$D$1,Podesavanja!$AA$3:$AD$28, 4, 0), 0)), ".", ","))</f>
        <v>0</v>
      </c>
      <c r="E154" s="230">
        <f ca="1">IF( ISNA( VLOOKUP( APIF_Import!$O154 &amp; APIF_Import!$E$1,Podesavanja!$AA$3:$AD$28, 4, 0)), "", VLOOKUP( APIF_Import!$C154, INDIRECT( "Lookup_" &amp; APIF_Import!$O154), VLOOKUP( APIF_Import!$O154 &amp; APIF_Import!$E$1,Podesavanja!$AA$3:$AD$28, 4, 0), 0))</f>
        <v>0</v>
      </c>
      <c r="F154" s="230" t="str">
        <f ca="1">IF( ISNA( VLOOKUP( APIF_Import!$O154 &amp; APIF_Import!$F$1,Podesavanja!$AA$3:$AD$28, 4, 0)), "", VLOOKUP( APIF_Import!$C154, INDIRECT( "Lookup_" &amp; APIF_Import!$O154), VLOOKUP( APIF_Import!$O154 &amp; APIF_Import!$F$1,Podesavanja!$AA$3:$AD$28, 4, 0), 0))</f>
        <v/>
      </c>
      <c r="G154" s="230" t="str">
        <f ca="1">IF( ISNA( VLOOKUP( APIF_Import!$O154 &amp; APIF_Import!$G$1,Podesavanja!$AA$3:$AD$28, 4, 0)), "", VLOOKUP( APIF_Import!$C154, INDIRECT( "Lookup_" &amp; APIF_Import!$O154), VLOOKUP( APIF_Import!$O154 &amp; APIF_Import!$G$1,Podesavanja!$AA$3:$AD$28, 4, 0), 0))</f>
        <v/>
      </c>
      <c r="H154" s="230" t="str">
        <f ca="1">IF( ISNA( VLOOKUP( APIF_Import!$O154 &amp; APIF_Import!$H$1,Podesavanja!$AA$3:$AD$28, 4, 0)), "", VLOOKUP( APIF_Import!$C154, INDIRECT( "Lookup_" &amp; APIF_Import!$O154), VLOOKUP( APIF_Import!$O154 &amp; APIF_Import!$H$1,Podesavanja!$AA$3:$AD$28, 4, 0), 0))</f>
        <v/>
      </c>
      <c r="I154" s="230" t="str">
        <f ca="1">IF( ISNA( VLOOKUP( APIF_Import!$O154 &amp; APIF_Import!$I$1,Podesavanja!$AA$3:$AD$28, 4, 0)), "", VLOOKUP( APIF_Import!$C154, INDIRECT( "Lookup_" &amp; APIF_Import!$M154:$O154), VLOOKUP( APIF_Import!$O154 &amp; APIF_Import!$I$1,Podesavanja!$AA$3:$AD$28, 4, 0), 0))</f>
        <v/>
      </c>
      <c r="J154" s="230" t="str">
        <f ca="1">IF( ISNA( VLOOKUP( APIF_Import!$O154 &amp; APIF_Import!$J$1,Podesavanja!$AA$3:$AD$28, 4, 0)), "", VLOOKUP( APIF_Import!$C154, INDIRECT( "Lookup_" &amp; APIF_Import!$M154:$O154), VLOOKUP( APIF_Import!$O154 &amp; APIF_Import!$J$1,Podesavanja!$AA$3:$AD$28, 4, 0), 0))</f>
        <v/>
      </c>
      <c r="K154" s="230" t="str">
        <f ca="1">IF( ISNA( VLOOKUP( APIF_Import!$O154 &amp; APIF_Import!$K$1,Podesavanja!$AA$3:$AD$28, 4, 0)), "", VLOOKUP( APIF_Import!$C154, INDIRECT( "Lookup_" &amp; APIF_Import!$M154:$O154), VLOOKUP( APIF_Import!$O154 &amp; APIF_Import!$K$1,Podesavanja!$AA$3:$AD$28, 4, 0), 0))</f>
        <v/>
      </c>
      <c r="L154" s="230" t="str">
        <f ca="1">IF( ISNA( VLOOKUP( APIF_Import!$O154 &amp; APIF_Import!$L$1,Podesavanja!$AA$3:$AD$28, 4, 0)), "", VLOOKUP( APIF_Import!$C154, INDIRECT( "Lookup_" &amp; APIF_Import!$M154:$O154), VLOOKUP( APIF_Import!$O154 &amp; APIF_Import!$L$1,Podesavanja!$AA$3:$AD$28, 4, 0), 0))</f>
        <v/>
      </c>
      <c r="M154" s="230" t="str">
        <f ca="1">IF( ISNA( VLOOKUP( APIF_Import!$O154 &amp; APIF_Import!$M$1,Podesavanja!$AA$3:$AD$28, 4, 0)), "", VLOOKUP( APIF_Import!$C154, INDIRECT( "Lookup_" &amp; APIF_Import!$M154:$O154), VLOOKUP( APIF_Import!$O154 &amp; APIF_Import!$M$1,Podesavanja!$AA$3:$AD$28, 4, 0), 0))</f>
        <v/>
      </c>
      <c r="N154" s="8">
        <v>153</v>
      </c>
      <c r="O154" s="230" t="s">
        <v>2377</v>
      </c>
    </row>
    <row r="155" spans="2:15">
      <c r="B155" s="44">
        <f ca="1">VLOOKUP( APIF_Import!$O155, Podesavanja!$N$3:$Q$9, 4, 0)</f>
        <v>3</v>
      </c>
      <c r="C155" s="229">
        <f ca="1">VLOOKUP( APIF_Import!$N155, Aop!$A$2:$P$456, 4, 0)</f>
        <v>216</v>
      </c>
      <c r="D155" s="230" t="str">
        <f ca="1">IF( ISNA( VLOOKUP( APIF_Import!$O155 &amp; APIF_Import!$D$1,Podesavanja!$AA$3:$AD$28, 4, 0)), "", SUBSTITUTE( VALUE( VLOOKUP( APIF_Import!$C155, INDIRECT( "Lookup_" &amp; APIF_Import!$O155), VLOOKUP( APIF_Import!$O155 &amp; APIF_Import!$D$1,Podesavanja!$AA$3:$AD$28, 4, 0), 0)), ".", ","))</f>
        <v>0</v>
      </c>
      <c r="E155" s="230">
        <f ca="1">IF( ISNA( VLOOKUP( APIF_Import!$O155 &amp; APIF_Import!$E$1,Podesavanja!$AA$3:$AD$28, 4, 0)), "", VLOOKUP( APIF_Import!$C155, INDIRECT( "Lookup_" &amp; APIF_Import!$O155), VLOOKUP( APIF_Import!$O155 &amp; APIF_Import!$E$1,Podesavanja!$AA$3:$AD$28, 4, 0), 0))</f>
        <v>0</v>
      </c>
      <c r="F155" s="230" t="str">
        <f ca="1">IF( ISNA( VLOOKUP( APIF_Import!$O155 &amp; APIF_Import!$F$1,Podesavanja!$AA$3:$AD$28, 4, 0)), "", VLOOKUP( APIF_Import!$C155, INDIRECT( "Lookup_" &amp; APIF_Import!$O155), VLOOKUP( APIF_Import!$O155 &amp; APIF_Import!$F$1,Podesavanja!$AA$3:$AD$28, 4, 0), 0))</f>
        <v/>
      </c>
      <c r="G155" s="230" t="str">
        <f ca="1">IF( ISNA( VLOOKUP( APIF_Import!$O155 &amp; APIF_Import!$G$1,Podesavanja!$AA$3:$AD$28, 4, 0)), "", VLOOKUP( APIF_Import!$C155, INDIRECT( "Lookup_" &amp; APIF_Import!$O155), VLOOKUP( APIF_Import!$O155 &amp; APIF_Import!$G$1,Podesavanja!$AA$3:$AD$28, 4, 0), 0))</f>
        <v/>
      </c>
      <c r="H155" s="230" t="str">
        <f ca="1">IF( ISNA( VLOOKUP( APIF_Import!$O155 &amp; APIF_Import!$H$1,Podesavanja!$AA$3:$AD$28, 4, 0)), "", VLOOKUP( APIF_Import!$C155, INDIRECT( "Lookup_" &amp; APIF_Import!$O155), VLOOKUP( APIF_Import!$O155 &amp; APIF_Import!$H$1,Podesavanja!$AA$3:$AD$28, 4, 0), 0))</f>
        <v/>
      </c>
      <c r="I155" s="230" t="str">
        <f ca="1">IF( ISNA( VLOOKUP( APIF_Import!$O155 &amp; APIF_Import!$I$1,Podesavanja!$AA$3:$AD$28, 4, 0)), "", VLOOKUP( APIF_Import!$C155, INDIRECT( "Lookup_" &amp; APIF_Import!$M155:$O155), VLOOKUP( APIF_Import!$O155 &amp; APIF_Import!$I$1,Podesavanja!$AA$3:$AD$28, 4, 0), 0))</f>
        <v/>
      </c>
      <c r="J155" s="230" t="str">
        <f ca="1">IF( ISNA( VLOOKUP( APIF_Import!$O155 &amp; APIF_Import!$J$1,Podesavanja!$AA$3:$AD$28, 4, 0)), "", VLOOKUP( APIF_Import!$C155, INDIRECT( "Lookup_" &amp; APIF_Import!$M155:$O155), VLOOKUP( APIF_Import!$O155 &amp; APIF_Import!$J$1,Podesavanja!$AA$3:$AD$28, 4, 0), 0))</f>
        <v/>
      </c>
      <c r="K155" s="230" t="str">
        <f ca="1">IF( ISNA( VLOOKUP( APIF_Import!$O155 &amp; APIF_Import!$K$1,Podesavanja!$AA$3:$AD$28, 4, 0)), "", VLOOKUP( APIF_Import!$C155, INDIRECT( "Lookup_" &amp; APIF_Import!$M155:$O155), VLOOKUP( APIF_Import!$O155 &amp; APIF_Import!$K$1,Podesavanja!$AA$3:$AD$28, 4, 0), 0))</f>
        <v/>
      </c>
      <c r="L155" s="230" t="str">
        <f ca="1">IF( ISNA( VLOOKUP( APIF_Import!$O155 &amp; APIF_Import!$L$1,Podesavanja!$AA$3:$AD$28, 4, 0)), "", VLOOKUP( APIF_Import!$C155, INDIRECT( "Lookup_" &amp; APIF_Import!$M155:$O155), VLOOKUP( APIF_Import!$O155 &amp; APIF_Import!$L$1,Podesavanja!$AA$3:$AD$28, 4, 0), 0))</f>
        <v/>
      </c>
      <c r="M155" s="230" t="str">
        <f ca="1">IF( ISNA( VLOOKUP( APIF_Import!$O155 &amp; APIF_Import!$M$1,Podesavanja!$AA$3:$AD$28, 4, 0)), "", VLOOKUP( APIF_Import!$C155, INDIRECT( "Lookup_" &amp; APIF_Import!$M155:$O155), VLOOKUP( APIF_Import!$O155 &amp; APIF_Import!$M$1,Podesavanja!$AA$3:$AD$28, 4, 0), 0))</f>
        <v/>
      </c>
      <c r="N155" s="8">
        <v>154</v>
      </c>
      <c r="O155" s="230" t="s">
        <v>2377</v>
      </c>
    </row>
    <row r="156" spans="2:15">
      <c r="B156" s="44">
        <f ca="1">VLOOKUP( APIF_Import!$O156, Podesavanja!$N$3:$Q$9, 4, 0)</f>
        <v>3</v>
      </c>
      <c r="C156" s="229">
        <f ca="1">VLOOKUP( APIF_Import!$N156, Aop!$A$2:$P$456, 4, 0)</f>
        <v>217</v>
      </c>
      <c r="D156" s="230" t="str">
        <f ca="1">IF( ISNA( VLOOKUP( APIF_Import!$O156 &amp; APIF_Import!$D$1,Podesavanja!$AA$3:$AD$28, 4, 0)), "", SUBSTITUTE( VALUE( VLOOKUP( APIF_Import!$C156, INDIRECT( "Lookup_" &amp; APIF_Import!$O156), VLOOKUP( APIF_Import!$O156 &amp; APIF_Import!$D$1,Podesavanja!$AA$3:$AD$28, 4, 0), 0)), ".", ","))</f>
        <v>0</v>
      </c>
      <c r="E156" s="230">
        <f ca="1">IF( ISNA( VLOOKUP( APIF_Import!$O156 &amp; APIF_Import!$E$1,Podesavanja!$AA$3:$AD$28, 4, 0)), "", VLOOKUP( APIF_Import!$C156, INDIRECT( "Lookup_" &amp; APIF_Import!$O156), VLOOKUP( APIF_Import!$O156 &amp; APIF_Import!$E$1,Podesavanja!$AA$3:$AD$28, 4, 0), 0))</f>
        <v>0</v>
      </c>
      <c r="F156" s="230" t="str">
        <f ca="1">IF( ISNA( VLOOKUP( APIF_Import!$O156 &amp; APIF_Import!$F$1,Podesavanja!$AA$3:$AD$28, 4, 0)), "", VLOOKUP( APIF_Import!$C156, INDIRECT( "Lookup_" &amp; APIF_Import!$O156), VLOOKUP( APIF_Import!$O156 &amp; APIF_Import!$F$1,Podesavanja!$AA$3:$AD$28, 4, 0), 0))</f>
        <v/>
      </c>
      <c r="G156" s="230" t="str">
        <f ca="1">IF( ISNA( VLOOKUP( APIF_Import!$O156 &amp; APIF_Import!$G$1,Podesavanja!$AA$3:$AD$28, 4, 0)), "", VLOOKUP( APIF_Import!$C156, INDIRECT( "Lookup_" &amp; APIF_Import!$O156), VLOOKUP( APIF_Import!$O156 &amp; APIF_Import!$G$1,Podesavanja!$AA$3:$AD$28, 4, 0), 0))</f>
        <v/>
      </c>
      <c r="H156" s="230" t="str">
        <f ca="1">IF( ISNA( VLOOKUP( APIF_Import!$O156 &amp; APIF_Import!$H$1,Podesavanja!$AA$3:$AD$28, 4, 0)), "", VLOOKUP( APIF_Import!$C156, INDIRECT( "Lookup_" &amp; APIF_Import!$O156), VLOOKUP( APIF_Import!$O156 &amp; APIF_Import!$H$1,Podesavanja!$AA$3:$AD$28, 4, 0), 0))</f>
        <v/>
      </c>
      <c r="I156" s="230" t="str">
        <f ca="1">IF( ISNA( VLOOKUP( APIF_Import!$O156 &amp; APIF_Import!$I$1,Podesavanja!$AA$3:$AD$28, 4, 0)), "", VLOOKUP( APIF_Import!$C156, INDIRECT( "Lookup_" &amp; APIF_Import!$M156:$O156), VLOOKUP( APIF_Import!$O156 &amp; APIF_Import!$I$1,Podesavanja!$AA$3:$AD$28, 4, 0), 0))</f>
        <v/>
      </c>
      <c r="J156" s="230" t="str">
        <f ca="1">IF( ISNA( VLOOKUP( APIF_Import!$O156 &amp; APIF_Import!$J$1,Podesavanja!$AA$3:$AD$28, 4, 0)), "", VLOOKUP( APIF_Import!$C156, INDIRECT( "Lookup_" &amp; APIF_Import!$M156:$O156), VLOOKUP( APIF_Import!$O156 &amp; APIF_Import!$J$1,Podesavanja!$AA$3:$AD$28, 4, 0), 0))</f>
        <v/>
      </c>
      <c r="K156" s="230" t="str">
        <f ca="1">IF( ISNA( VLOOKUP( APIF_Import!$O156 &amp; APIF_Import!$K$1,Podesavanja!$AA$3:$AD$28, 4, 0)), "", VLOOKUP( APIF_Import!$C156, INDIRECT( "Lookup_" &amp; APIF_Import!$M156:$O156), VLOOKUP( APIF_Import!$O156 &amp; APIF_Import!$K$1,Podesavanja!$AA$3:$AD$28, 4, 0), 0))</f>
        <v/>
      </c>
      <c r="L156" s="230" t="str">
        <f ca="1">IF( ISNA( VLOOKUP( APIF_Import!$O156 &amp; APIF_Import!$L$1,Podesavanja!$AA$3:$AD$28, 4, 0)), "", VLOOKUP( APIF_Import!$C156, INDIRECT( "Lookup_" &amp; APIF_Import!$M156:$O156), VLOOKUP( APIF_Import!$O156 &amp; APIF_Import!$L$1,Podesavanja!$AA$3:$AD$28, 4, 0), 0))</f>
        <v/>
      </c>
      <c r="M156" s="230" t="str">
        <f ca="1">IF( ISNA( VLOOKUP( APIF_Import!$O156 &amp; APIF_Import!$M$1,Podesavanja!$AA$3:$AD$28, 4, 0)), "", VLOOKUP( APIF_Import!$C156, INDIRECT( "Lookup_" &amp; APIF_Import!$M156:$O156), VLOOKUP( APIF_Import!$O156 &amp; APIF_Import!$M$1,Podesavanja!$AA$3:$AD$28, 4, 0), 0))</f>
        <v/>
      </c>
      <c r="N156" s="8">
        <v>155</v>
      </c>
      <c r="O156" s="230" t="s">
        <v>2377</v>
      </c>
    </row>
    <row r="157" spans="2:15">
      <c r="B157" s="44">
        <f ca="1">VLOOKUP( APIF_Import!$O157, Podesavanja!$N$3:$Q$9, 4, 0)</f>
        <v>3</v>
      </c>
      <c r="C157" s="229">
        <f ca="1">VLOOKUP( APIF_Import!$N157, Aop!$A$2:$P$456, 4, 0)</f>
        <v>218</v>
      </c>
      <c r="D157" s="230" t="str">
        <f ca="1">IF( ISNA( VLOOKUP( APIF_Import!$O157 &amp; APIF_Import!$D$1,Podesavanja!$AA$3:$AD$28, 4, 0)), "", SUBSTITUTE( VALUE( VLOOKUP( APIF_Import!$C157, INDIRECT( "Lookup_" &amp; APIF_Import!$O157), VLOOKUP( APIF_Import!$O157 &amp; APIF_Import!$D$1,Podesavanja!$AA$3:$AD$28, 4, 0), 0)), ".", ","))</f>
        <v>17118609</v>
      </c>
      <c r="E157" s="230">
        <f ca="1">IF( ISNA( VLOOKUP( APIF_Import!$O157 &amp; APIF_Import!$E$1,Podesavanja!$AA$3:$AD$28, 4, 0)), "", VLOOKUP( APIF_Import!$C157, INDIRECT( "Lookup_" &amp; APIF_Import!$O157), VLOOKUP( APIF_Import!$O157 &amp; APIF_Import!$E$1,Podesavanja!$AA$3:$AD$28, 4, 0), 0))</f>
        <v>27960</v>
      </c>
      <c r="F157" s="230" t="str">
        <f ca="1">IF( ISNA( VLOOKUP( APIF_Import!$O157 &amp; APIF_Import!$F$1,Podesavanja!$AA$3:$AD$28, 4, 0)), "", VLOOKUP( APIF_Import!$C157, INDIRECT( "Lookup_" &amp; APIF_Import!$O157), VLOOKUP( APIF_Import!$O157 &amp; APIF_Import!$F$1,Podesavanja!$AA$3:$AD$28, 4, 0), 0))</f>
        <v/>
      </c>
      <c r="G157" s="230" t="str">
        <f ca="1">IF( ISNA( VLOOKUP( APIF_Import!$O157 &amp; APIF_Import!$G$1,Podesavanja!$AA$3:$AD$28, 4, 0)), "", VLOOKUP( APIF_Import!$C157, INDIRECT( "Lookup_" &amp; APIF_Import!$O157), VLOOKUP( APIF_Import!$O157 &amp; APIF_Import!$G$1,Podesavanja!$AA$3:$AD$28, 4, 0), 0))</f>
        <v/>
      </c>
      <c r="H157" s="230" t="str">
        <f ca="1">IF( ISNA( VLOOKUP( APIF_Import!$O157 &amp; APIF_Import!$H$1,Podesavanja!$AA$3:$AD$28, 4, 0)), "", VLOOKUP( APIF_Import!$C157, INDIRECT( "Lookup_" &amp; APIF_Import!$O157), VLOOKUP( APIF_Import!$O157 &amp; APIF_Import!$H$1,Podesavanja!$AA$3:$AD$28, 4, 0), 0))</f>
        <v/>
      </c>
      <c r="I157" s="230" t="str">
        <f ca="1">IF( ISNA( VLOOKUP( APIF_Import!$O157 &amp; APIF_Import!$I$1,Podesavanja!$AA$3:$AD$28, 4, 0)), "", VLOOKUP( APIF_Import!$C157, INDIRECT( "Lookup_" &amp; APIF_Import!$M157:$O157), VLOOKUP( APIF_Import!$O157 &amp; APIF_Import!$I$1,Podesavanja!$AA$3:$AD$28, 4, 0), 0))</f>
        <v/>
      </c>
      <c r="J157" s="230" t="str">
        <f ca="1">IF( ISNA( VLOOKUP( APIF_Import!$O157 &amp; APIF_Import!$J$1,Podesavanja!$AA$3:$AD$28, 4, 0)), "", VLOOKUP( APIF_Import!$C157, INDIRECT( "Lookup_" &amp; APIF_Import!$M157:$O157), VLOOKUP( APIF_Import!$O157 &amp; APIF_Import!$J$1,Podesavanja!$AA$3:$AD$28, 4, 0), 0))</f>
        <v/>
      </c>
      <c r="K157" s="230" t="str">
        <f ca="1">IF( ISNA( VLOOKUP( APIF_Import!$O157 &amp; APIF_Import!$K$1,Podesavanja!$AA$3:$AD$28, 4, 0)), "", VLOOKUP( APIF_Import!$C157, INDIRECT( "Lookup_" &amp; APIF_Import!$M157:$O157), VLOOKUP( APIF_Import!$O157 &amp; APIF_Import!$K$1,Podesavanja!$AA$3:$AD$28, 4, 0), 0))</f>
        <v/>
      </c>
      <c r="L157" s="230" t="str">
        <f ca="1">IF( ISNA( VLOOKUP( APIF_Import!$O157 &amp; APIF_Import!$L$1,Podesavanja!$AA$3:$AD$28, 4, 0)), "", VLOOKUP( APIF_Import!$C157, INDIRECT( "Lookup_" &amp; APIF_Import!$M157:$O157), VLOOKUP( APIF_Import!$O157 &amp; APIF_Import!$L$1,Podesavanja!$AA$3:$AD$28, 4, 0), 0))</f>
        <v/>
      </c>
      <c r="M157" s="230" t="str">
        <f ca="1">IF( ISNA( VLOOKUP( APIF_Import!$O157 &amp; APIF_Import!$M$1,Podesavanja!$AA$3:$AD$28, 4, 0)), "", VLOOKUP( APIF_Import!$C157, INDIRECT( "Lookup_" &amp; APIF_Import!$M157:$O157), VLOOKUP( APIF_Import!$O157 &amp; APIF_Import!$M$1,Podesavanja!$AA$3:$AD$28, 4, 0), 0))</f>
        <v/>
      </c>
      <c r="N157" s="8">
        <v>156</v>
      </c>
      <c r="O157" s="230" t="s">
        <v>2377</v>
      </c>
    </row>
    <row r="158" spans="2:15">
      <c r="B158" s="44">
        <f ca="1">VLOOKUP( APIF_Import!$O158, Podesavanja!$N$3:$Q$9, 4, 0)</f>
        <v>3</v>
      </c>
      <c r="C158" s="229">
        <f ca="1">VLOOKUP( APIF_Import!$N158, Aop!$A$2:$P$456, 4, 0)</f>
        <v>219</v>
      </c>
      <c r="D158" s="230" t="str">
        <f ca="1">IF( ISNA( VLOOKUP( APIF_Import!$O158 &amp; APIF_Import!$D$1,Podesavanja!$AA$3:$AD$28, 4, 0)), "", SUBSTITUTE( VALUE( VLOOKUP( APIF_Import!$C158, INDIRECT( "Lookup_" &amp; APIF_Import!$O158), VLOOKUP( APIF_Import!$O158 &amp; APIF_Import!$D$1,Podesavanja!$AA$3:$AD$28, 4, 0), 0)), ".", ","))</f>
        <v>1493742</v>
      </c>
      <c r="E158" s="230">
        <f ca="1">IF( ISNA( VLOOKUP( APIF_Import!$O158 &amp; APIF_Import!$E$1,Podesavanja!$AA$3:$AD$28, 4, 0)), "", VLOOKUP( APIF_Import!$C158, INDIRECT( "Lookup_" &amp; APIF_Import!$O158), VLOOKUP( APIF_Import!$O158 &amp; APIF_Import!$E$1,Podesavanja!$AA$3:$AD$28, 4, 0), 0))</f>
        <v>954680</v>
      </c>
      <c r="F158" s="230" t="str">
        <f ca="1">IF( ISNA( VLOOKUP( APIF_Import!$O158 &amp; APIF_Import!$F$1,Podesavanja!$AA$3:$AD$28, 4, 0)), "", VLOOKUP( APIF_Import!$C158, INDIRECT( "Lookup_" &amp; APIF_Import!$O158), VLOOKUP( APIF_Import!$O158 &amp; APIF_Import!$F$1,Podesavanja!$AA$3:$AD$28, 4, 0), 0))</f>
        <v/>
      </c>
      <c r="G158" s="230" t="str">
        <f ca="1">IF( ISNA( VLOOKUP( APIF_Import!$O158 &amp; APIF_Import!$G$1,Podesavanja!$AA$3:$AD$28, 4, 0)), "", VLOOKUP( APIF_Import!$C158, INDIRECT( "Lookup_" &amp; APIF_Import!$O158), VLOOKUP( APIF_Import!$O158 &amp; APIF_Import!$G$1,Podesavanja!$AA$3:$AD$28, 4, 0), 0))</f>
        <v/>
      </c>
      <c r="H158" s="230" t="str">
        <f ca="1">IF( ISNA( VLOOKUP( APIF_Import!$O158 &amp; APIF_Import!$H$1,Podesavanja!$AA$3:$AD$28, 4, 0)), "", VLOOKUP( APIF_Import!$C158, INDIRECT( "Lookup_" &amp; APIF_Import!$O158), VLOOKUP( APIF_Import!$O158 &amp; APIF_Import!$H$1,Podesavanja!$AA$3:$AD$28, 4, 0), 0))</f>
        <v/>
      </c>
      <c r="I158" s="230" t="str">
        <f ca="1">IF( ISNA( VLOOKUP( APIF_Import!$O158 &amp; APIF_Import!$I$1,Podesavanja!$AA$3:$AD$28, 4, 0)), "", VLOOKUP( APIF_Import!$C158, INDIRECT( "Lookup_" &amp; APIF_Import!$M158:$O158), VLOOKUP( APIF_Import!$O158 &amp; APIF_Import!$I$1,Podesavanja!$AA$3:$AD$28, 4, 0), 0))</f>
        <v/>
      </c>
      <c r="J158" s="230" t="str">
        <f ca="1">IF( ISNA( VLOOKUP( APIF_Import!$O158 &amp; APIF_Import!$J$1,Podesavanja!$AA$3:$AD$28, 4, 0)), "", VLOOKUP( APIF_Import!$C158, INDIRECT( "Lookup_" &amp; APIF_Import!$M158:$O158), VLOOKUP( APIF_Import!$O158 &amp; APIF_Import!$J$1,Podesavanja!$AA$3:$AD$28, 4, 0), 0))</f>
        <v/>
      </c>
      <c r="K158" s="230" t="str">
        <f ca="1">IF( ISNA( VLOOKUP( APIF_Import!$O158 &amp; APIF_Import!$K$1,Podesavanja!$AA$3:$AD$28, 4, 0)), "", VLOOKUP( APIF_Import!$C158, INDIRECT( "Lookup_" &amp; APIF_Import!$M158:$O158), VLOOKUP( APIF_Import!$O158 &amp; APIF_Import!$K$1,Podesavanja!$AA$3:$AD$28, 4, 0), 0))</f>
        <v/>
      </c>
      <c r="L158" s="230" t="str">
        <f ca="1">IF( ISNA( VLOOKUP( APIF_Import!$O158 &amp; APIF_Import!$L$1,Podesavanja!$AA$3:$AD$28, 4, 0)), "", VLOOKUP( APIF_Import!$C158, INDIRECT( "Lookup_" &amp; APIF_Import!$M158:$O158), VLOOKUP( APIF_Import!$O158 &amp; APIF_Import!$L$1,Podesavanja!$AA$3:$AD$28, 4, 0), 0))</f>
        <v/>
      </c>
      <c r="M158" s="230" t="str">
        <f ca="1">IF( ISNA( VLOOKUP( APIF_Import!$O158 &amp; APIF_Import!$M$1,Podesavanja!$AA$3:$AD$28, 4, 0)), "", VLOOKUP( APIF_Import!$C158, INDIRECT( "Lookup_" &amp; APIF_Import!$M158:$O158), VLOOKUP( APIF_Import!$O158 &amp; APIF_Import!$M$1,Podesavanja!$AA$3:$AD$28, 4, 0), 0))</f>
        <v/>
      </c>
      <c r="N158" s="8">
        <v>157</v>
      </c>
      <c r="O158" s="230" t="s">
        <v>2377</v>
      </c>
    </row>
    <row r="159" spans="2:15">
      <c r="B159" s="44">
        <f ca="1">VLOOKUP( APIF_Import!$O159, Podesavanja!$N$3:$Q$9, 4, 0)</f>
        <v>3</v>
      </c>
      <c r="C159" s="229">
        <f ca="1">VLOOKUP( APIF_Import!$N159, Aop!$A$2:$P$456, 4, 0)</f>
        <v>220</v>
      </c>
      <c r="D159" s="230" t="str">
        <f ca="1">IF( ISNA( VLOOKUP( APIF_Import!$O159 &amp; APIF_Import!$D$1,Podesavanja!$AA$3:$AD$28, 4, 0)), "", SUBSTITUTE( VALUE( VLOOKUP( APIF_Import!$C159, INDIRECT( "Lookup_" &amp; APIF_Import!$O159), VLOOKUP( APIF_Import!$O159 &amp; APIF_Import!$D$1,Podesavanja!$AA$3:$AD$28, 4, 0), 0)), ".", ","))</f>
        <v>0</v>
      </c>
      <c r="E159" s="230">
        <f ca="1">IF( ISNA( VLOOKUP( APIF_Import!$O159 &amp; APIF_Import!$E$1,Podesavanja!$AA$3:$AD$28, 4, 0)), "", VLOOKUP( APIF_Import!$C159, INDIRECT( "Lookup_" &amp; APIF_Import!$O159), VLOOKUP( APIF_Import!$O159 &amp; APIF_Import!$E$1,Podesavanja!$AA$3:$AD$28, 4, 0), 0))</f>
        <v>0</v>
      </c>
      <c r="F159" s="230" t="str">
        <f ca="1">IF( ISNA( VLOOKUP( APIF_Import!$O159 &amp; APIF_Import!$F$1,Podesavanja!$AA$3:$AD$28, 4, 0)), "", VLOOKUP( APIF_Import!$C159, INDIRECT( "Lookup_" &amp; APIF_Import!$O159), VLOOKUP( APIF_Import!$O159 &amp; APIF_Import!$F$1,Podesavanja!$AA$3:$AD$28, 4, 0), 0))</f>
        <v/>
      </c>
      <c r="G159" s="230" t="str">
        <f ca="1">IF( ISNA( VLOOKUP( APIF_Import!$O159 &amp; APIF_Import!$G$1,Podesavanja!$AA$3:$AD$28, 4, 0)), "", VLOOKUP( APIF_Import!$C159, INDIRECT( "Lookup_" &amp; APIF_Import!$O159), VLOOKUP( APIF_Import!$O159 &amp; APIF_Import!$G$1,Podesavanja!$AA$3:$AD$28, 4, 0), 0))</f>
        <v/>
      </c>
      <c r="H159" s="230" t="str">
        <f ca="1">IF( ISNA( VLOOKUP( APIF_Import!$O159 &amp; APIF_Import!$H$1,Podesavanja!$AA$3:$AD$28, 4, 0)), "", VLOOKUP( APIF_Import!$C159, INDIRECT( "Lookup_" &amp; APIF_Import!$O159), VLOOKUP( APIF_Import!$O159 &amp; APIF_Import!$H$1,Podesavanja!$AA$3:$AD$28, 4, 0), 0))</f>
        <v/>
      </c>
      <c r="I159" s="230" t="str">
        <f ca="1">IF( ISNA( VLOOKUP( APIF_Import!$O159 &amp; APIF_Import!$I$1,Podesavanja!$AA$3:$AD$28, 4, 0)), "", VLOOKUP( APIF_Import!$C159, INDIRECT( "Lookup_" &amp; APIF_Import!$M159:$O159), VLOOKUP( APIF_Import!$O159 &amp; APIF_Import!$I$1,Podesavanja!$AA$3:$AD$28, 4, 0), 0))</f>
        <v/>
      </c>
      <c r="J159" s="230" t="str">
        <f ca="1">IF( ISNA( VLOOKUP( APIF_Import!$O159 &amp; APIF_Import!$J$1,Podesavanja!$AA$3:$AD$28, 4, 0)), "", VLOOKUP( APIF_Import!$C159, INDIRECT( "Lookup_" &amp; APIF_Import!$M159:$O159), VLOOKUP( APIF_Import!$O159 &amp; APIF_Import!$J$1,Podesavanja!$AA$3:$AD$28, 4, 0), 0))</f>
        <v/>
      </c>
      <c r="K159" s="230" t="str">
        <f ca="1">IF( ISNA( VLOOKUP( APIF_Import!$O159 &amp; APIF_Import!$K$1,Podesavanja!$AA$3:$AD$28, 4, 0)), "", VLOOKUP( APIF_Import!$C159, INDIRECT( "Lookup_" &amp; APIF_Import!$M159:$O159), VLOOKUP( APIF_Import!$O159 &amp; APIF_Import!$K$1,Podesavanja!$AA$3:$AD$28, 4, 0), 0))</f>
        <v/>
      </c>
      <c r="L159" s="230" t="str">
        <f ca="1">IF( ISNA( VLOOKUP( APIF_Import!$O159 &amp; APIF_Import!$L$1,Podesavanja!$AA$3:$AD$28, 4, 0)), "", VLOOKUP( APIF_Import!$C159, INDIRECT( "Lookup_" &amp; APIF_Import!$M159:$O159), VLOOKUP( APIF_Import!$O159 &amp; APIF_Import!$L$1,Podesavanja!$AA$3:$AD$28, 4, 0), 0))</f>
        <v/>
      </c>
      <c r="M159" s="230" t="str">
        <f ca="1">IF( ISNA( VLOOKUP( APIF_Import!$O159 &amp; APIF_Import!$M$1,Podesavanja!$AA$3:$AD$28, 4, 0)), "", VLOOKUP( APIF_Import!$C159, INDIRECT( "Lookup_" &amp; APIF_Import!$M159:$O159), VLOOKUP( APIF_Import!$O159 &amp; APIF_Import!$M$1,Podesavanja!$AA$3:$AD$28, 4, 0), 0))</f>
        <v/>
      </c>
      <c r="N159" s="8">
        <v>158</v>
      </c>
      <c r="O159" s="230" t="s">
        <v>2377</v>
      </c>
    </row>
    <row r="160" spans="2:15">
      <c r="B160" s="44">
        <f ca="1">VLOOKUP( APIF_Import!$O160, Podesavanja!$N$3:$Q$9, 4, 0)</f>
        <v>3</v>
      </c>
      <c r="C160" s="229">
        <f ca="1">VLOOKUP( APIF_Import!$N160, Aop!$A$2:$P$456, 4, 0)</f>
        <v>221</v>
      </c>
      <c r="D160" s="230" t="str">
        <f ca="1">IF( ISNA( VLOOKUP( APIF_Import!$O160 &amp; APIF_Import!$D$1,Podesavanja!$AA$3:$AD$28, 4, 0)), "", SUBSTITUTE( VALUE( VLOOKUP( APIF_Import!$C160, INDIRECT( "Lookup_" &amp; APIF_Import!$O160), VLOOKUP( APIF_Import!$O160 &amp; APIF_Import!$D$1,Podesavanja!$AA$3:$AD$28, 4, 0), 0)), ".", ","))</f>
        <v>15975</v>
      </c>
      <c r="E160" s="230">
        <f ca="1">IF( ISNA( VLOOKUP( APIF_Import!$O160 &amp; APIF_Import!$E$1,Podesavanja!$AA$3:$AD$28, 4, 0)), "", VLOOKUP( APIF_Import!$C160, INDIRECT( "Lookup_" &amp; APIF_Import!$O160), VLOOKUP( APIF_Import!$O160 &amp; APIF_Import!$E$1,Podesavanja!$AA$3:$AD$28, 4, 0), 0))</f>
        <v>10459</v>
      </c>
      <c r="F160" s="230" t="str">
        <f ca="1">IF( ISNA( VLOOKUP( APIF_Import!$O160 &amp; APIF_Import!$F$1,Podesavanja!$AA$3:$AD$28, 4, 0)), "", VLOOKUP( APIF_Import!$C160, INDIRECT( "Lookup_" &amp; APIF_Import!$O160), VLOOKUP( APIF_Import!$O160 &amp; APIF_Import!$F$1,Podesavanja!$AA$3:$AD$28, 4, 0), 0))</f>
        <v/>
      </c>
      <c r="G160" s="230" t="str">
        <f ca="1">IF( ISNA( VLOOKUP( APIF_Import!$O160 &amp; APIF_Import!$G$1,Podesavanja!$AA$3:$AD$28, 4, 0)), "", VLOOKUP( APIF_Import!$C160, INDIRECT( "Lookup_" &amp; APIF_Import!$O160), VLOOKUP( APIF_Import!$O160 &amp; APIF_Import!$G$1,Podesavanja!$AA$3:$AD$28, 4, 0), 0))</f>
        <v/>
      </c>
      <c r="H160" s="230" t="str">
        <f ca="1">IF( ISNA( VLOOKUP( APIF_Import!$O160 &amp; APIF_Import!$H$1,Podesavanja!$AA$3:$AD$28, 4, 0)), "", VLOOKUP( APIF_Import!$C160, INDIRECT( "Lookup_" &amp; APIF_Import!$O160), VLOOKUP( APIF_Import!$O160 &amp; APIF_Import!$H$1,Podesavanja!$AA$3:$AD$28, 4, 0), 0))</f>
        <v/>
      </c>
      <c r="I160" s="230" t="str">
        <f ca="1">IF( ISNA( VLOOKUP( APIF_Import!$O160 &amp; APIF_Import!$I$1,Podesavanja!$AA$3:$AD$28, 4, 0)), "", VLOOKUP( APIF_Import!$C160, INDIRECT( "Lookup_" &amp; APIF_Import!$M160:$O160), VLOOKUP( APIF_Import!$O160 &amp; APIF_Import!$I$1,Podesavanja!$AA$3:$AD$28, 4, 0), 0))</f>
        <v/>
      </c>
      <c r="J160" s="230" t="str">
        <f ca="1">IF( ISNA( VLOOKUP( APIF_Import!$O160 &amp; APIF_Import!$J$1,Podesavanja!$AA$3:$AD$28, 4, 0)), "", VLOOKUP( APIF_Import!$C160, INDIRECT( "Lookup_" &amp; APIF_Import!$M160:$O160), VLOOKUP( APIF_Import!$O160 &amp; APIF_Import!$J$1,Podesavanja!$AA$3:$AD$28, 4, 0), 0))</f>
        <v/>
      </c>
      <c r="K160" s="230" t="str">
        <f ca="1">IF( ISNA( VLOOKUP( APIF_Import!$O160 &amp; APIF_Import!$K$1,Podesavanja!$AA$3:$AD$28, 4, 0)), "", VLOOKUP( APIF_Import!$C160, INDIRECT( "Lookup_" &amp; APIF_Import!$M160:$O160), VLOOKUP( APIF_Import!$O160 &amp; APIF_Import!$K$1,Podesavanja!$AA$3:$AD$28, 4, 0), 0))</f>
        <v/>
      </c>
      <c r="L160" s="230" t="str">
        <f ca="1">IF( ISNA( VLOOKUP( APIF_Import!$O160 &amp; APIF_Import!$L$1,Podesavanja!$AA$3:$AD$28, 4, 0)), "", VLOOKUP( APIF_Import!$C160, INDIRECT( "Lookup_" &amp; APIF_Import!$M160:$O160), VLOOKUP( APIF_Import!$O160 &amp; APIF_Import!$L$1,Podesavanja!$AA$3:$AD$28, 4, 0), 0))</f>
        <v/>
      </c>
      <c r="M160" s="230" t="str">
        <f ca="1">IF( ISNA( VLOOKUP( APIF_Import!$O160 &amp; APIF_Import!$M$1,Podesavanja!$AA$3:$AD$28, 4, 0)), "", VLOOKUP( APIF_Import!$C160, INDIRECT( "Lookup_" &amp; APIF_Import!$M160:$O160), VLOOKUP( APIF_Import!$O160 &amp; APIF_Import!$M$1,Podesavanja!$AA$3:$AD$28, 4, 0), 0))</f>
        <v/>
      </c>
      <c r="N160" s="8">
        <v>159</v>
      </c>
      <c r="O160" s="230" t="s">
        <v>2377</v>
      </c>
    </row>
    <row r="161" spans="2:15">
      <c r="B161" s="44">
        <f ca="1">VLOOKUP( APIF_Import!$O161, Podesavanja!$N$3:$Q$9, 4, 0)</f>
        <v>3</v>
      </c>
      <c r="C161" s="229">
        <f ca="1">VLOOKUP( APIF_Import!$N161, Aop!$A$2:$P$456, 4, 0)</f>
        <v>222</v>
      </c>
      <c r="D161" s="230" t="str">
        <f ca="1">IF( ISNA( VLOOKUP( APIF_Import!$O161 &amp; APIF_Import!$D$1,Podesavanja!$AA$3:$AD$28, 4, 0)), "", SUBSTITUTE( VALUE( VLOOKUP( APIF_Import!$C161, INDIRECT( "Lookup_" &amp; APIF_Import!$O161), VLOOKUP( APIF_Import!$O161 &amp; APIF_Import!$D$1,Podesavanja!$AA$3:$AD$28, 4, 0), 0)), ".", ","))</f>
        <v>52128</v>
      </c>
      <c r="E161" s="230">
        <f ca="1">IF( ISNA( VLOOKUP( APIF_Import!$O161 &amp; APIF_Import!$E$1,Podesavanja!$AA$3:$AD$28, 4, 0)), "", VLOOKUP( APIF_Import!$C161, INDIRECT( "Lookup_" &amp; APIF_Import!$O161), VLOOKUP( APIF_Import!$O161 &amp; APIF_Import!$E$1,Podesavanja!$AA$3:$AD$28, 4, 0), 0))</f>
        <v>12057</v>
      </c>
      <c r="F161" s="230" t="str">
        <f ca="1">IF( ISNA( VLOOKUP( APIF_Import!$O161 &amp; APIF_Import!$F$1,Podesavanja!$AA$3:$AD$28, 4, 0)), "", VLOOKUP( APIF_Import!$C161, INDIRECT( "Lookup_" &amp; APIF_Import!$O161), VLOOKUP( APIF_Import!$O161 &amp; APIF_Import!$F$1,Podesavanja!$AA$3:$AD$28, 4, 0), 0))</f>
        <v/>
      </c>
      <c r="G161" s="230" t="str">
        <f ca="1">IF( ISNA( VLOOKUP( APIF_Import!$O161 &amp; APIF_Import!$G$1,Podesavanja!$AA$3:$AD$28, 4, 0)), "", VLOOKUP( APIF_Import!$C161, INDIRECT( "Lookup_" &amp; APIF_Import!$O161), VLOOKUP( APIF_Import!$O161 &amp; APIF_Import!$G$1,Podesavanja!$AA$3:$AD$28, 4, 0), 0))</f>
        <v/>
      </c>
      <c r="H161" s="230" t="str">
        <f ca="1">IF( ISNA( VLOOKUP( APIF_Import!$O161 &amp; APIF_Import!$H$1,Podesavanja!$AA$3:$AD$28, 4, 0)), "", VLOOKUP( APIF_Import!$C161, INDIRECT( "Lookup_" &amp; APIF_Import!$O161), VLOOKUP( APIF_Import!$O161 &amp; APIF_Import!$H$1,Podesavanja!$AA$3:$AD$28, 4, 0), 0))</f>
        <v/>
      </c>
      <c r="I161" s="230" t="str">
        <f ca="1">IF( ISNA( VLOOKUP( APIF_Import!$O161 &amp; APIF_Import!$I$1,Podesavanja!$AA$3:$AD$28, 4, 0)), "", VLOOKUP( APIF_Import!$C161, INDIRECT( "Lookup_" &amp; APIF_Import!$M161:$O161), VLOOKUP( APIF_Import!$O161 &amp; APIF_Import!$I$1,Podesavanja!$AA$3:$AD$28, 4, 0), 0))</f>
        <v/>
      </c>
      <c r="J161" s="230" t="str">
        <f ca="1">IF( ISNA( VLOOKUP( APIF_Import!$O161 &amp; APIF_Import!$J$1,Podesavanja!$AA$3:$AD$28, 4, 0)), "", VLOOKUP( APIF_Import!$C161, INDIRECT( "Lookup_" &amp; APIF_Import!$M161:$O161), VLOOKUP( APIF_Import!$O161 &amp; APIF_Import!$J$1,Podesavanja!$AA$3:$AD$28, 4, 0), 0))</f>
        <v/>
      </c>
      <c r="K161" s="230" t="str">
        <f ca="1">IF( ISNA( VLOOKUP( APIF_Import!$O161 &amp; APIF_Import!$K$1,Podesavanja!$AA$3:$AD$28, 4, 0)), "", VLOOKUP( APIF_Import!$C161, INDIRECT( "Lookup_" &amp; APIF_Import!$M161:$O161), VLOOKUP( APIF_Import!$O161 &amp; APIF_Import!$K$1,Podesavanja!$AA$3:$AD$28, 4, 0), 0))</f>
        <v/>
      </c>
      <c r="L161" s="230" t="str">
        <f ca="1">IF( ISNA( VLOOKUP( APIF_Import!$O161 &amp; APIF_Import!$L$1,Podesavanja!$AA$3:$AD$28, 4, 0)), "", VLOOKUP( APIF_Import!$C161, INDIRECT( "Lookup_" &amp; APIF_Import!$M161:$O161), VLOOKUP( APIF_Import!$O161 &amp; APIF_Import!$L$1,Podesavanja!$AA$3:$AD$28, 4, 0), 0))</f>
        <v/>
      </c>
      <c r="M161" s="230" t="str">
        <f ca="1">IF( ISNA( VLOOKUP( APIF_Import!$O161 &amp; APIF_Import!$M$1,Podesavanja!$AA$3:$AD$28, 4, 0)), "", VLOOKUP( APIF_Import!$C161, INDIRECT( "Lookup_" &amp; APIF_Import!$M161:$O161), VLOOKUP( APIF_Import!$O161 &amp; APIF_Import!$M$1,Podesavanja!$AA$3:$AD$28, 4, 0), 0))</f>
        <v/>
      </c>
      <c r="N161" s="8">
        <v>160</v>
      </c>
      <c r="O161" s="230" t="s">
        <v>2377</v>
      </c>
    </row>
    <row r="162" spans="2:15">
      <c r="B162" s="44">
        <f ca="1">VLOOKUP( APIF_Import!$O162, Podesavanja!$N$3:$Q$9, 4, 0)</f>
        <v>3</v>
      </c>
      <c r="C162" s="229">
        <f ca="1">VLOOKUP( APIF_Import!$N162, Aop!$A$2:$P$456, 4, 0)</f>
        <v>223</v>
      </c>
      <c r="D162" s="230" t="str">
        <f ca="1">IF( ISNA( VLOOKUP( APIF_Import!$O162 &amp; APIF_Import!$D$1,Podesavanja!$AA$3:$AD$28, 4, 0)), "", SUBSTITUTE( VALUE( VLOOKUP( APIF_Import!$C162, INDIRECT( "Lookup_" &amp; APIF_Import!$O162), VLOOKUP( APIF_Import!$O162 &amp; APIF_Import!$D$1,Podesavanja!$AA$3:$AD$28, 4, 0), 0)), ".", ","))</f>
        <v>596524</v>
      </c>
      <c r="E162" s="230">
        <f ca="1">IF( ISNA( VLOOKUP( APIF_Import!$O162 &amp; APIF_Import!$E$1,Podesavanja!$AA$3:$AD$28, 4, 0)), "", VLOOKUP( APIF_Import!$C162, INDIRECT( "Lookup_" &amp; APIF_Import!$O162), VLOOKUP( APIF_Import!$O162 &amp; APIF_Import!$E$1,Podesavanja!$AA$3:$AD$28, 4, 0), 0))</f>
        <v>606175</v>
      </c>
      <c r="F162" s="230" t="str">
        <f ca="1">IF( ISNA( VLOOKUP( APIF_Import!$O162 &amp; APIF_Import!$F$1,Podesavanja!$AA$3:$AD$28, 4, 0)), "", VLOOKUP( APIF_Import!$C162, INDIRECT( "Lookup_" &amp; APIF_Import!$O162), VLOOKUP( APIF_Import!$O162 &amp; APIF_Import!$F$1,Podesavanja!$AA$3:$AD$28, 4, 0), 0))</f>
        <v/>
      </c>
      <c r="G162" s="230" t="str">
        <f ca="1">IF( ISNA( VLOOKUP( APIF_Import!$O162 &amp; APIF_Import!$G$1,Podesavanja!$AA$3:$AD$28, 4, 0)), "", VLOOKUP( APIF_Import!$C162, INDIRECT( "Lookup_" &amp; APIF_Import!$O162), VLOOKUP( APIF_Import!$O162 &amp; APIF_Import!$G$1,Podesavanja!$AA$3:$AD$28, 4, 0), 0))</f>
        <v/>
      </c>
      <c r="H162" s="230" t="str">
        <f ca="1">IF( ISNA( VLOOKUP( APIF_Import!$O162 &amp; APIF_Import!$H$1,Podesavanja!$AA$3:$AD$28, 4, 0)), "", VLOOKUP( APIF_Import!$C162, INDIRECT( "Lookup_" &amp; APIF_Import!$O162), VLOOKUP( APIF_Import!$O162 &amp; APIF_Import!$H$1,Podesavanja!$AA$3:$AD$28, 4, 0), 0))</f>
        <v/>
      </c>
      <c r="I162" s="230" t="str">
        <f ca="1">IF( ISNA( VLOOKUP( APIF_Import!$O162 &amp; APIF_Import!$I$1,Podesavanja!$AA$3:$AD$28, 4, 0)), "", VLOOKUP( APIF_Import!$C162, INDIRECT( "Lookup_" &amp; APIF_Import!$M162:$O162), VLOOKUP( APIF_Import!$O162 &amp; APIF_Import!$I$1,Podesavanja!$AA$3:$AD$28, 4, 0), 0))</f>
        <v/>
      </c>
      <c r="J162" s="230" t="str">
        <f ca="1">IF( ISNA( VLOOKUP( APIF_Import!$O162 &amp; APIF_Import!$J$1,Podesavanja!$AA$3:$AD$28, 4, 0)), "", VLOOKUP( APIF_Import!$C162, INDIRECT( "Lookup_" &amp; APIF_Import!$M162:$O162), VLOOKUP( APIF_Import!$O162 &amp; APIF_Import!$J$1,Podesavanja!$AA$3:$AD$28, 4, 0), 0))</f>
        <v/>
      </c>
      <c r="K162" s="230" t="str">
        <f ca="1">IF( ISNA( VLOOKUP( APIF_Import!$O162 &amp; APIF_Import!$K$1,Podesavanja!$AA$3:$AD$28, 4, 0)), "", VLOOKUP( APIF_Import!$C162, INDIRECT( "Lookup_" &amp; APIF_Import!$M162:$O162), VLOOKUP( APIF_Import!$O162 &amp; APIF_Import!$K$1,Podesavanja!$AA$3:$AD$28, 4, 0), 0))</f>
        <v/>
      </c>
      <c r="L162" s="230" t="str">
        <f ca="1">IF( ISNA( VLOOKUP( APIF_Import!$O162 &amp; APIF_Import!$L$1,Podesavanja!$AA$3:$AD$28, 4, 0)), "", VLOOKUP( APIF_Import!$C162, INDIRECT( "Lookup_" &amp; APIF_Import!$M162:$O162), VLOOKUP( APIF_Import!$O162 &amp; APIF_Import!$L$1,Podesavanja!$AA$3:$AD$28, 4, 0), 0))</f>
        <v/>
      </c>
      <c r="M162" s="230" t="str">
        <f ca="1">IF( ISNA( VLOOKUP( APIF_Import!$O162 &amp; APIF_Import!$M$1,Podesavanja!$AA$3:$AD$28, 4, 0)), "", VLOOKUP( APIF_Import!$C162, INDIRECT( "Lookup_" &amp; APIF_Import!$M162:$O162), VLOOKUP( APIF_Import!$O162 &amp; APIF_Import!$M$1,Podesavanja!$AA$3:$AD$28, 4, 0), 0))</f>
        <v/>
      </c>
      <c r="N162" s="8">
        <v>161</v>
      </c>
      <c r="O162" s="230" t="s">
        <v>2377</v>
      </c>
    </row>
    <row r="163" spans="2:15">
      <c r="B163" s="44">
        <f ca="1">VLOOKUP( APIF_Import!$O163, Podesavanja!$N$3:$Q$9, 4, 0)</f>
        <v>3</v>
      </c>
      <c r="C163" s="229">
        <f ca="1">VLOOKUP( APIF_Import!$N163, Aop!$A$2:$P$456, 4, 0)</f>
        <v>224</v>
      </c>
      <c r="D163" s="230" t="str">
        <f ca="1">IF( ISNA( VLOOKUP( APIF_Import!$O163 &amp; APIF_Import!$D$1,Podesavanja!$AA$3:$AD$28, 4, 0)), "", SUBSTITUTE( VALUE( VLOOKUP( APIF_Import!$C163, INDIRECT( "Lookup_" &amp; APIF_Import!$O163), VLOOKUP( APIF_Import!$O163 &amp; APIF_Import!$D$1,Podesavanja!$AA$3:$AD$28, 4, 0), 0)), ".", ","))</f>
        <v>526208</v>
      </c>
      <c r="E163" s="230">
        <f ca="1">IF( ISNA( VLOOKUP( APIF_Import!$O163 &amp; APIF_Import!$E$1,Podesavanja!$AA$3:$AD$28, 4, 0)), "", VLOOKUP( APIF_Import!$C163, INDIRECT( "Lookup_" &amp; APIF_Import!$O163), VLOOKUP( APIF_Import!$O163 &amp; APIF_Import!$E$1,Podesavanja!$AA$3:$AD$28, 4, 0), 0))</f>
        <v>592577</v>
      </c>
      <c r="F163" s="230" t="str">
        <f ca="1">IF( ISNA( VLOOKUP( APIF_Import!$O163 &amp; APIF_Import!$F$1,Podesavanja!$AA$3:$AD$28, 4, 0)), "", VLOOKUP( APIF_Import!$C163, INDIRECT( "Lookup_" &amp; APIF_Import!$O163), VLOOKUP( APIF_Import!$O163 &amp; APIF_Import!$F$1,Podesavanja!$AA$3:$AD$28, 4, 0), 0))</f>
        <v/>
      </c>
      <c r="G163" s="230" t="str">
        <f ca="1">IF( ISNA( VLOOKUP( APIF_Import!$O163 &amp; APIF_Import!$G$1,Podesavanja!$AA$3:$AD$28, 4, 0)), "", VLOOKUP( APIF_Import!$C163, INDIRECT( "Lookup_" &amp; APIF_Import!$O163), VLOOKUP( APIF_Import!$O163 &amp; APIF_Import!$G$1,Podesavanja!$AA$3:$AD$28, 4, 0), 0))</f>
        <v/>
      </c>
      <c r="H163" s="230" t="str">
        <f ca="1">IF( ISNA( VLOOKUP( APIF_Import!$O163 &amp; APIF_Import!$H$1,Podesavanja!$AA$3:$AD$28, 4, 0)), "", VLOOKUP( APIF_Import!$C163, INDIRECT( "Lookup_" &amp; APIF_Import!$O163), VLOOKUP( APIF_Import!$O163 &amp; APIF_Import!$H$1,Podesavanja!$AA$3:$AD$28, 4, 0), 0))</f>
        <v/>
      </c>
      <c r="I163" s="230" t="str">
        <f ca="1">IF( ISNA( VLOOKUP( APIF_Import!$O163 &amp; APIF_Import!$I$1,Podesavanja!$AA$3:$AD$28, 4, 0)), "", VLOOKUP( APIF_Import!$C163, INDIRECT( "Lookup_" &amp; APIF_Import!$M163:$O163), VLOOKUP( APIF_Import!$O163 &amp; APIF_Import!$I$1,Podesavanja!$AA$3:$AD$28, 4, 0), 0))</f>
        <v/>
      </c>
      <c r="J163" s="230" t="str">
        <f ca="1">IF( ISNA( VLOOKUP( APIF_Import!$O163 &amp; APIF_Import!$J$1,Podesavanja!$AA$3:$AD$28, 4, 0)), "", VLOOKUP( APIF_Import!$C163, INDIRECT( "Lookup_" &amp; APIF_Import!$M163:$O163), VLOOKUP( APIF_Import!$O163 &amp; APIF_Import!$J$1,Podesavanja!$AA$3:$AD$28, 4, 0), 0))</f>
        <v/>
      </c>
      <c r="K163" s="230" t="str">
        <f ca="1">IF( ISNA( VLOOKUP( APIF_Import!$O163 &amp; APIF_Import!$K$1,Podesavanja!$AA$3:$AD$28, 4, 0)), "", VLOOKUP( APIF_Import!$C163, INDIRECT( "Lookup_" &amp; APIF_Import!$M163:$O163), VLOOKUP( APIF_Import!$O163 &amp; APIF_Import!$K$1,Podesavanja!$AA$3:$AD$28, 4, 0), 0))</f>
        <v/>
      </c>
      <c r="L163" s="230" t="str">
        <f ca="1">IF( ISNA( VLOOKUP( APIF_Import!$O163 &amp; APIF_Import!$L$1,Podesavanja!$AA$3:$AD$28, 4, 0)), "", VLOOKUP( APIF_Import!$C163, INDIRECT( "Lookup_" &amp; APIF_Import!$M163:$O163), VLOOKUP( APIF_Import!$O163 &amp; APIF_Import!$L$1,Podesavanja!$AA$3:$AD$28, 4, 0), 0))</f>
        <v/>
      </c>
      <c r="M163" s="230" t="str">
        <f ca="1">IF( ISNA( VLOOKUP( APIF_Import!$O163 &amp; APIF_Import!$M$1,Podesavanja!$AA$3:$AD$28, 4, 0)), "", VLOOKUP( APIF_Import!$C163, INDIRECT( "Lookup_" &amp; APIF_Import!$M163:$O163), VLOOKUP( APIF_Import!$O163 &amp; APIF_Import!$M$1,Podesavanja!$AA$3:$AD$28, 4, 0), 0))</f>
        <v/>
      </c>
      <c r="N163" s="8">
        <v>162</v>
      </c>
      <c r="O163" s="230" t="s">
        <v>2377</v>
      </c>
    </row>
    <row r="164" spans="2:15">
      <c r="B164" s="44">
        <f ca="1">VLOOKUP( APIF_Import!$O164, Podesavanja!$N$3:$Q$9, 4, 0)</f>
        <v>3</v>
      </c>
      <c r="C164" s="229">
        <f ca="1">VLOOKUP( APIF_Import!$N164, Aop!$A$2:$P$456, 4, 0)</f>
        <v>225</v>
      </c>
      <c r="D164" s="230" t="str">
        <f ca="1">IF( ISNA( VLOOKUP( APIF_Import!$O164 &amp; APIF_Import!$D$1,Podesavanja!$AA$3:$AD$28, 4, 0)), "", SUBSTITUTE( VALUE( VLOOKUP( APIF_Import!$C164, INDIRECT( "Lookup_" &amp; APIF_Import!$O164), VLOOKUP( APIF_Import!$O164 &amp; APIF_Import!$D$1,Podesavanja!$AA$3:$AD$28, 4, 0), 0)), ".", ","))</f>
        <v>70316</v>
      </c>
      <c r="E164" s="230">
        <f ca="1">IF( ISNA( VLOOKUP( APIF_Import!$O164 &amp; APIF_Import!$E$1,Podesavanja!$AA$3:$AD$28, 4, 0)), "", VLOOKUP( APIF_Import!$C164, INDIRECT( "Lookup_" &amp; APIF_Import!$O164), VLOOKUP( APIF_Import!$O164 &amp; APIF_Import!$E$1,Podesavanja!$AA$3:$AD$28, 4, 0), 0))</f>
        <v>13598</v>
      </c>
      <c r="F164" s="230" t="str">
        <f ca="1">IF( ISNA( VLOOKUP( APIF_Import!$O164 &amp; APIF_Import!$F$1,Podesavanja!$AA$3:$AD$28, 4, 0)), "", VLOOKUP( APIF_Import!$C164, INDIRECT( "Lookup_" &amp; APIF_Import!$O164), VLOOKUP( APIF_Import!$O164 &amp; APIF_Import!$F$1,Podesavanja!$AA$3:$AD$28, 4, 0), 0))</f>
        <v/>
      </c>
      <c r="G164" s="230" t="str">
        <f ca="1">IF( ISNA( VLOOKUP( APIF_Import!$O164 &amp; APIF_Import!$G$1,Podesavanja!$AA$3:$AD$28, 4, 0)), "", VLOOKUP( APIF_Import!$C164, INDIRECT( "Lookup_" &amp; APIF_Import!$O164), VLOOKUP( APIF_Import!$O164 &amp; APIF_Import!$G$1,Podesavanja!$AA$3:$AD$28, 4, 0), 0))</f>
        <v/>
      </c>
      <c r="H164" s="230" t="str">
        <f ca="1">IF( ISNA( VLOOKUP( APIF_Import!$O164 &amp; APIF_Import!$H$1,Podesavanja!$AA$3:$AD$28, 4, 0)), "", VLOOKUP( APIF_Import!$C164, INDIRECT( "Lookup_" &amp; APIF_Import!$O164), VLOOKUP( APIF_Import!$O164 &amp; APIF_Import!$H$1,Podesavanja!$AA$3:$AD$28, 4, 0), 0))</f>
        <v/>
      </c>
      <c r="I164" s="230" t="str">
        <f ca="1">IF( ISNA( VLOOKUP( APIF_Import!$O164 &amp; APIF_Import!$I$1,Podesavanja!$AA$3:$AD$28, 4, 0)), "", VLOOKUP( APIF_Import!$C164, INDIRECT( "Lookup_" &amp; APIF_Import!$M164:$O164), VLOOKUP( APIF_Import!$O164 &amp; APIF_Import!$I$1,Podesavanja!$AA$3:$AD$28, 4, 0), 0))</f>
        <v/>
      </c>
      <c r="J164" s="230" t="str">
        <f ca="1">IF( ISNA( VLOOKUP( APIF_Import!$O164 &amp; APIF_Import!$J$1,Podesavanja!$AA$3:$AD$28, 4, 0)), "", VLOOKUP( APIF_Import!$C164, INDIRECT( "Lookup_" &amp; APIF_Import!$M164:$O164), VLOOKUP( APIF_Import!$O164 &amp; APIF_Import!$J$1,Podesavanja!$AA$3:$AD$28, 4, 0), 0))</f>
        <v/>
      </c>
      <c r="K164" s="230" t="str">
        <f ca="1">IF( ISNA( VLOOKUP( APIF_Import!$O164 &amp; APIF_Import!$K$1,Podesavanja!$AA$3:$AD$28, 4, 0)), "", VLOOKUP( APIF_Import!$C164, INDIRECT( "Lookup_" &amp; APIF_Import!$M164:$O164), VLOOKUP( APIF_Import!$O164 &amp; APIF_Import!$K$1,Podesavanja!$AA$3:$AD$28, 4, 0), 0))</f>
        <v/>
      </c>
      <c r="L164" s="230" t="str">
        <f ca="1">IF( ISNA( VLOOKUP( APIF_Import!$O164 &amp; APIF_Import!$L$1,Podesavanja!$AA$3:$AD$28, 4, 0)), "", VLOOKUP( APIF_Import!$C164, INDIRECT( "Lookup_" &amp; APIF_Import!$M164:$O164), VLOOKUP( APIF_Import!$O164 &amp; APIF_Import!$L$1,Podesavanja!$AA$3:$AD$28, 4, 0), 0))</f>
        <v/>
      </c>
      <c r="M164" s="230" t="str">
        <f ca="1">IF( ISNA( VLOOKUP( APIF_Import!$O164 &amp; APIF_Import!$M$1,Podesavanja!$AA$3:$AD$28, 4, 0)), "", VLOOKUP( APIF_Import!$C164, INDIRECT( "Lookup_" &amp; APIF_Import!$M164:$O164), VLOOKUP( APIF_Import!$O164 &amp; APIF_Import!$M$1,Podesavanja!$AA$3:$AD$28, 4, 0), 0))</f>
        <v/>
      </c>
      <c r="N164" s="8">
        <v>163</v>
      </c>
      <c r="O164" s="230" t="s">
        <v>2377</v>
      </c>
    </row>
    <row r="165" spans="2:15">
      <c r="B165" s="44">
        <f ca="1">VLOOKUP( APIF_Import!$O165, Podesavanja!$N$3:$Q$9, 4, 0)</f>
        <v>3</v>
      </c>
      <c r="C165" s="229">
        <f ca="1">VLOOKUP( APIF_Import!$N165, Aop!$A$2:$P$456, 4, 0)</f>
        <v>226</v>
      </c>
      <c r="D165" s="230" t="str">
        <f ca="1">IF( ISNA( VLOOKUP( APIF_Import!$O165 &amp; APIF_Import!$D$1,Podesavanja!$AA$3:$AD$28, 4, 0)), "", SUBSTITUTE( VALUE( VLOOKUP( APIF_Import!$C165, INDIRECT( "Lookup_" &amp; APIF_Import!$O165), VLOOKUP( APIF_Import!$O165 &amp; APIF_Import!$D$1,Podesavanja!$AA$3:$AD$28, 4, 0), 0)), ".", ","))</f>
        <v>520869</v>
      </c>
      <c r="E165" s="230">
        <f ca="1">IF( ISNA( VLOOKUP( APIF_Import!$O165 &amp; APIF_Import!$E$1,Podesavanja!$AA$3:$AD$28, 4, 0)), "", VLOOKUP( APIF_Import!$C165, INDIRECT( "Lookup_" &amp; APIF_Import!$O165), VLOOKUP( APIF_Import!$O165 &amp; APIF_Import!$E$1,Podesavanja!$AA$3:$AD$28, 4, 0), 0))</f>
        <v>139937</v>
      </c>
      <c r="F165" s="230" t="str">
        <f ca="1">IF( ISNA( VLOOKUP( APIF_Import!$O165 &amp; APIF_Import!$F$1,Podesavanja!$AA$3:$AD$28, 4, 0)), "", VLOOKUP( APIF_Import!$C165, INDIRECT( "Lookup_" &amp; APIF_Import!$O165), VLOOKUP( APIF_Import!$O165 &amp; APIF_Import!$F$1,Podesavanja!$AA$3:$AD$28, 4, 0), 0))</f>
        <v/>
      </c>
      <c r="G165" s="230" t="str">
        <f ca="1">IF( ISNA( VLOOKUP( APIF_Import!$O165 &amp; APIF_Import!$G$1,Podesavanja!$AA$3:$AD$28, 4, 0)), "", VLOOKUP( APIF_Import!$C165, INDIRECT( "Lookup_" &amp; APIF_Import!$O165), VLOOKUP( APIF_Import!$O165 &amp; APIF_Import!$G$1,Podesavanja!$AA$3:$AD$28, 4, 0), 0))</f>
        <v/>
      </c>
      <c r="H165" s="230" t="str">
        <f ca="1">IF( ISNA( VLOOKUP( APIF_Import!$O165 &amp; APIF_Import!$H$1,Podesavanja!$AA$3:$AD$28, 4, 0)), "", VLOOKUP( APIF_Import!$C165, INDIRECT( "Lookup_" &amp; APIF_Import!$O165), VLOOKUP( APIF_Import!$O165 &amp; APIF_Import!$H$1,Podesavanja!$AA$3:$AD$28, 4, 0), 0))</f>
        <v/>
      </c>
      <c r="I165" s="230" t="str">
        <f ca="1">IF( ISNA( VLOOKUP( APIF_Import!$O165 &amp; APIF_Import!$I$1,Podesavanja!$AA$3:$AD$28, 4, 0)), "", VLOOKUP( APIF_Import!$C165, INDIRECT( "Lookup_" &amp; APIF_Import!$M165:$O165), VLOOKUP( APIF_Import!$O165 &amp; APIF_Import!$I$1,Podesavanja!$AA$3:$AD$28, 4, 0), 0))</f>
        <v/>
      </c>
      <c r="J165" s="230" t="str">
        <f ca="1">IF( ISNA( VLOOKUP( APIF_Import!$O165 &amp; APIF_Import!$J$1,Podesavanja!$AA$3:$AD$28, 4, 0)), "", VLOOKUP( APIF_Import!$C165, INDIRECT( "Lookup_" &amp; APIF_Import!$M165:$O165), VLOOKUP( APIF_Import!$O165 &amp; APIF_Import!$J$1,Podesavanja!$AA$3:$AD$28, 4, 0), 0))</f>
        <v/>
      </c>
      <c r="K165" s="230" t="str">
        <f ca="1">IF( ISNA( VLOOKUP( APIF_Import!$O165 &amp; APIF_Import!$K$1,Podesavanja!$AA$3:$AD$28, 4, 0)), "", VLOOKUP( APIF_Import!$C165, INDIRECT( "Lookup_" &amp; APIF_Import!$M165:$O165), VLOOKUP( APIF_Import!$O165 &amp; APIF_Import!$K$1,Podesavanja!$AA$3:$AD$28, 4, 0), 0))</f>
        <v/>
      </c>
      <c r="L165" s="230" t="str">
        <f ca="1">IF( ISNA( VLOOKUP( APIF_Import!$O165 &amp; APIF_Import!$L$1,Podesavanja!$AA$3:$AD$28, 4, 0)), "", VLOOKUP( APIF_Import!$C165, INDIRECT( "Lookup_" &amp; APIF_Import!$M165:$O165), VLOOKUP( APIF_Import!$O165 &amp; APIF_Import!$L$1,Podesavanja!$AA$3:$AD$28, 4, 0), 0))</f>
        <v/>
      </c>
      <c r="M165" s="230" t="str">
        <f ca="1">IF( ISNA( VLOOKUP( APIF_Import!$O165 &amp; APIF_Import!$M$1,Podesavanja!$AA$3:$AD$28, 4, 0)), "", VLOOKUP( APIF_Import!$C165, INDIRECT( "Lookup_" &amp; APIF_Import!$M165:$O165), VLOOKUP( APIF_Import!$O165 &amp; APIF_Import!$M$1,Podesavanja!$AA$3:$AD$28, 4, 0), 0))</f>
        <v/>
      </c>
      <c r="N165" s="8">
        <v>164</v>
      </c>
      <c r="O165" s="230" t="s">
        <v>2377</v>
      </c>
    </row>
    <row r="166" spans="2:15">
      <c r="B166" s="44">
        <f ca="1">VLOOKUP( APIF_Import!$O166, Podesavanja!$N$3:$Q$9, 4, 0)</f>
        <v>3</v>
      </c>
      <c r="C166" s="229">
        <f ca="1">VLOOKUP( APIF_Import!$N166, Aop!$A$2:$P$456, 4, 0)</f>
        <v>227</v>
      </c>
      <c r="D166" s="230" t="str">
        <f ca="1">IF( ISNA( VLOOKUP( APIF_Import!$O166 &amp; APIF_Import!$D$1,Podesavanja!$AA$3:$AD$28, 4, 0)), "", SUBSTITUTE( VALUE( VLOOKUP( APIF_Import!$C166, INDIRECT( "Lookup_" &amp; APIF_Import!$O166), VLOOKUP( APIF_Import!$O166 &amp; APIF_Import!$D$1,Podesavanja!$AA$3:$AD$28, 4, 0), 0)), ".", ","))</f>
        <v>223876</v>
      </c>
      <c r="E166" s="230">
        <f ca="1">IF( ISNA( VLOOKUP( APIF_Import!$O166 &amp; APIF_Import!$E$1,Podesavanja!$AA$3:$AD$28, 4, 0)), "", VLOOKUP( APIF_Import!$C166, INDIRECT( "Lookup_" &amp; APIF_Import!$O166), VLOOKUP( APIF_Import!$O166 &amp; APIF_Import!$E$1,Podesavanja!$AA$3:$AD$28, 4, 0), 0))</f>
        <v>95283</v>
      </c>
      <c r="F166" s="230" t="str">
        <f ca="1">IF( ISNA( VLOOKUP( APIF_Import!$O166 &amp; APIF_Import!$F$1,Podesavanja!$AA$3:$AD$28, 4, 0)), "", VLOOKUP( APIF_Import!$C166, INDIRECT( "Lookup_" &amp; APIF_Import!$O166), VLOOKUP( APIF_Import!$O166 &amp; APIF_Import!$F$1,Podesavanja!$AA$3:$AD$28, 4, 0), 0))</f>
        <v/>
      </c>
      <c r="G166" s="230" t="str">
        <f ca="1">IF( ISNA( VLOOKUP( APIF_Import!$O166 &amp; APIF_Import!$G$1,Podesavanja!$AA$3:$AD$28, 4, 0)), "", VLOOKUP( APIF_Import!$C166, INDIRECT( "Lookup_" &amp; APIF_Import!$O166), VLOOKUP( APIF_Import!$O166 &amp; APIF_Import!$G$1,Podesavanja!$AA$3:$AD$28, 4, 0), 0))</f>
        <v/>
      </c>
      <c r="H166" s="230" t="str">
        <f ca="1">IF( ISNA( VLOOKUP( APIF_Import!$O166 &amp; APIF_Import!$H$1,Podesavanja!$AA$3:$AD$28, 4, 0)), "", VLOOKUP( APIF_Import!$C166, INDIRECT( "Lookup_" &amp; APIF_Import!$O166), VLOOKUP( APIF_Import!$O166 &amp; APIF_Import!$H$1,Podesavanja!$AA$3:$AD$28, 4, 0), 0))</f>
        <v/>
      </c>
      <c r="I166" s="230" t="str">
        <f ca="1">IF( ISNA( VLOOKUP( APIF_Import!$O166 &amp; APIF_Import!$I$1,Podesavanja!$AA$3:$AD$28, 4, 0)), "", VLOOKUP( APIF_Import!$C166, INDIRECT( "Lookup_" &amp; APIF_Import!$M166:$O166), VLOOKUP( APIF_Import!$O166 &amp; APIF_Import!$I$1,Podesavanja!$AA$3:$AD$28, 4, 0), 0))</f>
        <v/>
      </c>
      <c r="J166" s="230" t="str">
        <f ca="1">IF( ISNA( VLOOKUP( APIF_Import!$O166 &amp; APIF_Import!$J$1,Podesavanja!$AA$3:$AD$28, 4, 0)), "", VLOOKUP( APIF_Import!$C166, INDIRECT( "Lookup_" &amp; APIF_Import!$M166:$O166), VLOOKUP( APIF_Import!$O166 &amp; APIF_Import!$J$1,Podesavanja!$AA$3:$AD$28, 4, 0), 0))</f>
        <v/>
      </c>
      <c r="K166" s="230" t="str">
        <f ca="1">IF( ISNA( VLOOKUP( APIF_Import!$O166 &amp; APIF_Import!$K$1,Podesavanja!$AA$3:$AD$28, 4, 0)), "", VLOOKUP( APIF_Import!$C166, INDIRECT( "Lookup_" &amp; APIF_Import!$M166:$O166), VLOOKUP( APIF_Import!$O166 &amp; APIF_Import!$K$1,Podesavanja!$AA$3:$AD$28, 4, 0), 0))</f>
        <v/>
      </c>
      <c r="L166" s="230" t="str">
        <f ca="1">IF( ISNA( VLOOKUP( APIF_Import!$O166 &amp; APIF_Import!$L$1,Podesavanja!$AA$3:$AD$28, 4, 0)), "", VLOOKUP( APIF_Import!$C166, INDIRECT( "Lookup_" &amp; APIF_Import!$M166:$O166), VLOOKUP( APIF_Import!$O166 &amp; APIF_Import!$L$1,Podesavanja!$AA$3:$AD$28, 4, 0), 0))</f>
        <v/>
      </c>
      <c r="M166" s="230" t="str">
        <f ca="1">IF( ISNA( VLOOKUP( APIF_Import!$O166 &amp; APIF_Import!$M$1,Podesavanja!$AA$3:$AD$28, 4, 0)), "", VLOOKUP( APIF_Import!$C166, INDIRECT( "Lookup_" &amp; APIF_Import!$M166:$O166), VLOOKUP( APIF_Import!$O166 &amp; APIF_Import!$M$1,Podesavanja!$AA$3:$AD$28, 4, 0), 0))</f>
        <v/>
      </c>
      <c r="N166" s="8">
        <v>165</v>
      </c>
      <c r="O166" s="230" t="s">
        <v>2377</v>
      </c>
    </row>
    <row r="167" spans="2:15">
      <c r="B167" s="44">
        <f ca="1">VLOOKUP( APIF_Import!$O167, Podesavanja!$N$3:$Q$9, 4, 0)</f>
        <v>3</v>
      </c>
      <c r="C167" s="229">
        <f ca="1">VLOOKUP( APIF_Import!$N167, Aop!$A$2:$P$456, 4, 0)</f>
        <v>228</v>
      </c>
      <c r="D167" s="230" t="str">
        <f ca="1">IF( ISNA( VLOOKUP( APIF_Import!$O167 &amp; APIF_Import!$D$1,Podesavanja!$AA$3:$AD$28, 4, 0)), "", SUBSTITUTE( VALUE( VLOOKUP( APIF_Import!$C167, INDIRECT( "Lookup_" &amp; APIF_Import!$O167), VLOOKUP( APIF_Import!$O167 &amp; APIF_Import!$D$1,Podesavanja!$AA$3:$AD$28, 4, 0), 0)), ".", ","))</f>
        <v>223876</v>
      </c>
      <c r="E167" s="230">
        <f ca="1">IF( ISNA( VLOOKUP( APIF_Import!$O167 &amp; APIF_Import!$E$1,Podesavanja!$AA$3:$AD$28, 4, 0)), "", VLOOKUP( APIF_Import!$C167, INDIRECT( "Lookup_" &amp; APIF_Import!$O167), VLOOKUP( APIF_Import!$O167 &amp; APIF_Import!$E$1,Podesavanja!$AA$3:$AD$28, 4, 0), 0))</f>
        <v>95283</v>
      </c>
      <c r="F167" s="230" t="str">
        <f ca="1">IF( ISNA( VLOOKUP( APIF_Import!$O167 &amp; APIF_Import!$F$1,Podesavanja!$AA$3:$AD$28, 4, 0)), "", VLOOKUP( APIF_Import!$C167, INDIRECT( "Lookup_" &amp; APIF_Import!$O167), VLOOKUP( APIF_Import!$O167 &amp; APIF_Import!$F$1,Podesavanja!$AA$3:$AD$28, 4, 0), 0))</f>
        <v/>
      </c>
      <c r="G167" s="230" t="str">
        <f ca="1">IF( ISNA( VLOOKUP( APIF_Import!$O167 &amp; APIF_Import!$G$1,Podesavanja!$AA$3:$AD$28, 4, 0)), "", VLOOKUP( APIF_Import!$C167, INDIRECT( "Lookup_" &amp; APIF_Import!$O167), VLOOKUP( APIF_Import!$O167 &amp; APIF_Import!$G$1,Podesavanja!$AA$3:$AD$28, 4, 0), 0))</f>
        <v/>
      </c>
      <c r="H167" s="230" t="str">
        <f ca="1">IF( ISNA( VLOOKUP( APIF_Import!$O167 &amp; APIF_Import!$H$1,Podesavanja!$AA$3:$AD$28, 4, 0)), "", VLOOKUP( APIF_Import!$C167, INDIRECT( "Lookup_" &amp; APIF_Import!$O167), VLOOKUP( APIF_Import!$O167 &amp; APIF_Import!$H$1,Podesavanja!$AA$3:$AD$28, 4, 0), 0))</f>
        <v/>
      </c>
      <c r="I167" s="230" t="str">
        <f ca="1">IF( ISNA( VLOOKUP( APIF_Import!$O167 &amp; APIF_Import!$I$1,Podesavanja!$AA$3:$AD$28, 4, 0)), "", VLOOKUP( APIF_Import!$C167, INDIRECT( "Lookup_" &amp; APIF_Import!$M167:$O167), VLOOKUP( APIF_Import!$O167 &amp; APIF_Import!$I$1,Podesavanja!$AA$3:$AD$28, 4, 0), 0))</f>
        <v/>
      </c>
      <c r="J167" s="230" t="str">
        <f ca="1">IF( ISNA( VLOOKUP( APIF_Import!$O167 &amp; APIF_Import!$J$1,Podesavanja!$AA$3:$AD$28, 4, 0)), "", VLOOKUP( APIF_Import!$C167, INDIRECT( "Lookup_" &amp; APIF_Import!$M167:$O167), VLOOKUP( APIF_Import!$O167 &amp; APIF_Import!$J$1,Podesavanja!$AA$3:$AD$28, 4, 0), 0))</f>
        <v/>
      </c>
      <c r="K167" s="230" t="str">
        <f ca="1">IF( ISNA( VLOOKUP( APIF_Import!$O167 &amp; APIF_Import!$K$1,Podesavanja!$AA$3:$AD$28, 4, 0)), "", VLOOKUP( APIF_Import!$C167, INDIRECT( "Lookup_" &amp; APIF_Import!$M167:$O167), VLOOKUP( APIF_Import!$O167 &amp; APIF_Import!$K$1,Podesavanja!$AA$3:$AD$28, 4, 0), 0))</f>
        <v/>
      </c>
      <c r="L167" s="230" t="str">
        <f ca="1">IF( ISNA( VLOOKUP( APIF_Import!$O167 &amp; APIF_Import!$L$1,Podesavanja!$AA$3:$AD$28, 4, 0)), "", VLOOKUP( APIF_Import!$C167, INDIRECT( "Lookup_" &amp; APIF_Import!$M167:$O167), VLOOKUP( APIF_Import!$O167 &amp; APIF_Import!$L$1,Podesavanja!$AA$3:$AD$28, 4, 0), 0))</f>
        <v/>
      </c>
      <c r="M167" s="230" t="str">
        <f ca="1">IF( ISNA( VLOOKUP( APIF_Import!$O167 &amp; APIF_Import!$M$1,Podesavanja!$AA$3:$AD$28, 4, 0)), "", VLOOKUP( APIF_Import!$C167, INDIRECT( "Lookup_" &amp; APIF_Import!$M167:$O167), VLOOKUP( APIF_Import!$O167 &amp; APIF_Import!$M$1,Podesavanja!$AA$3:$AD$28, 4, 0), 0))</f>
        <v/>
      </c>
      <c r="N167" s="8">
        <v>166</v>
      </c>
      <c r="O167" s="230" t="s">
        <v>2377</v>
      </c>
    </row>
    <row r="168" spans="2:15">
      <c r="B168" s="44">
        <f ca="1">VLOOKUP( APIF_Import!$O168, Podesavanja!$N$3:$Q$9, 4, 0)</f>
        <v>3</v>
      </c>
      <c r="C168" s="229">
        <f ca="1">VLOOKUP( APIF_Import!$N168, Aop!$A$2:$P$456, 4, 0)</f>
        <v>229</v>
      </c>
      <c r="D168" s="230" t="str">
        <f ca="1">IF( ISNA( VLOOKUP( APIF_Import!$O168 &amp; APIF_Import!$D$1,Podesavanja!$AA$3:$AD$28, 4, 0)), "", SUBSTITUTE( VALUE( VLOOKUP( APIF_Import!$C168, INDIRECT( "Lookup_" &amp; APIF_Import!$O168), VLOOKUP( APIF_Import!$O168 &amp; APIF_Import!$D$1,Podesavanja!$AA$3:$AD$28, 4, 0), 0)), ".", ","))</f>
        <v>223876</v>
      </c>
      <c r="E168" s="230">
        <f ca="1">IF( ISNA( VLOOKUP( APIF_Import!$O168 &amp; APIF_Import!$E$1,Podesavanja!$AA$3:$AD$28, 4, 0)), "", VLOOKUP( APIF_Import!$C168, INDIRECT( "Lookup_" &amp; APIF_Import!$O168), VLOOKUP( APIF_Import!$O168 &amp; APIF_Import!$E$1,Podesavanja!$AA$3:$AD$28, 4, 0), 0))</f>
        <v>95283</v>
      </c>
      <c r="F168" s="230" t="str">
        <f ca="1">IF( ISNA( VLOOKUP( APIF_Import!$O168 &amp; APIF_Import!$F$1,Podesavanja!$AA$3:$AD$28, 4, 0)), "", VLOOKUP( APIF_Import!$C168, INDIRECT( "Lookup_" &amp; APIF_Import!$O168), VLOOKUP( APIF_Import!$O168 &amp; APIF_Import!$F$1,Podesavanja!$AA$3:$AD$28, 4, 0), 0))</f>
        <v/>
      </c>
      <c r="G168" s="230" t="str">
        <f ca="1">IF( ISNA( VLOOKUP( APIF_Import!$O168 &amp; APIF_Import!$G$1,Podesavanja!$AA$3:$AD$28, 4, 0)), "", VLOOKUP( APIF_Import!$C168, INDIRECT( "Lookup_" &amp; APIF_Import!$O168), VLOOKUP( APIF_Import!$O168 &amp; APIF_Import!$G$1,Podesavanja!$AA$3:$AD$28, 4, 0), 0))</f>
        <v/>
      </c>
      <c r="H168" s="230" t="str">
        <f ca="1">IF( ISNA( VLOOKUP( APIF_Import!$O168 &amp; APIF_Import!$H$1,Podesavanja!$AA$3:$AD$28, 4, 0)), "", VLOOKUP( APIF_Import!$C168, INDIRECT( "Lookup_" &amp; APIF_Import!$O168), VLOOKUP( APIF_Import!$O168 &amp; APIF_Import!$H$1,Podesavanja!$AA$3:$AD$28, 4, 0), 0))</f>
        <v/>
      </c>
      <c r="I168" s="230" t="str">
        <f ca="1">IF( ISNA( VLOOKUP( APIF_Import!$O168 &amp; APIF_Import!$I$1,Podesavanja!$AA$3:$AD$28, 4, 0)), "", VLOOKUP( APIF_Import!$C168, INDIRECT( "Lookup_" &amp; APIF_Import!$M168:$O168), VLOOKUP( APIF_Import!$O168 &amp; APIF_Import!$I$1,Podesavanja!$AA$3:$AD$28, 4, 0), 0))</f>
        <v/>
      </c>
      <c r="J168" s="230" t="str">
        <f ca="1">IF( ISNA( VLOOKUP( APIF_Import!$O168 &amp; APIF_Import!$J$1,Podesavanja!$AA$3:$AD$28, 4, 0)), "", VLOOKUP( APIF_Import!$C168, INDIRECT( "Lookup_" &amp; APIF_Import!$M168:$O168), VLOOKUP( APIF_Import!$O168 &amp; APIF_Import!$J$1,Podesavanja!$AA$3:$AD$28, 4, 0), 0))</f>
        <v/>
      </c>
      <c r="K168" s="230" t="str">
        <f ca="1">IF( ISNA( VLOOKUP( APIF_Import!$O168 &amp; APIF_Import!$K$1,Podesavanja!$AA$3:$AD$28, 4, 0)), "", VLOOKUP( APIF_Import!$C168, INDIRECT( "Lookup_" &amp; APIF_Import!$M168:$O168), VLOOKUP( APIF_Import!$O168 &amp; APIF_Import!$K$1,Podesavanja!$AA$3:$AD$28, 4, 0), 0))</f>
        <v/>
      </c>
      <c r="L168" s="230" t="str">
        <f ca="1">IF( ISNA( VLOOKUP( APIF_Import!$O168 &amp; APIF_Import!$L$1,Podesavanja!$AA$3:$AD$28, 4, 0)), "", VLOOKUP( APIF_Import!$C168, INDIRECT( "Lookup_" &amp; APIF_Import!$M168:$O168), VLOOKUP( APIF_Import!$O168 &amp; APIF_Import!$L$1,Podesavanja!$AA$3:$AD$28, 4, 0), 0))</f>
        <v/>
      </c>
      <c r="M168" s="230" t="str">
        <f ca="1">IF( ISNA( VLOOKUP( APIF_Import!$O168 &amp; APIF_Import!$M$1,Podesavanja!$AA$3:$AD$28, 4, 0)), "", VLOOKUP( APIF_Import!$C168, INDIRECT( "Lookup_" &amp; APIF_Import!$M168:$O168), VLOOKUP( APIF_Import!$O168 &amp; APIF_Import!$M$1,Podesavanja!$AA$3:$AD$28, 4, 0), 0))</f>
        <v/>
      </c>
      <c r="N168" s="8">
        <v>167</v>
      </c>
      <c r="O168" s="230" t="s">
        <v>2377</v>
      </c>
    </row>
    <row r="169" spans="2:15">
      <c r="B169" s="44">
        <f ca="1">VLOOKUP( APIF_Import!$O169, Podesavanja!$N$3:$Q$9, 4, 0)</f>
        <v>3</v>
      </c>
      <c r="C169" s="229">
        <f ca="1">VLOOKUP( APIF_Import!$N169, Aop!$A$2:$P$456, 4, 0)</f>
        <v>230</v>
      </c>
      <c r="D169" s="230" t="str">
        <f ca="1">IF( ISNA( VLOOKUP( APIF_Import!$O169 &amp; APIF_Import!$D$1,Podesavanja!$AA$3:$AD$28, 4, 0)), "", SUBSTITUTE( VALUE( VLOOKUP( APIF_Import!$C169, INDIRECT( "Lookup_" &amp; APIF_Import!$O169), VLOOKUP( APIF_Import!$O169 &amp; APIF_Import!$D$1,Podesavanja!$AA$3:$AD$28, 4, 0), 0)), ".", ","))</f>
        <v>0</v>
      </c>
      <c r="E169" s="230">
        <f ca="1">IF( ISNA( VLOOKUP( APIF_Import!$O169 &amp; APIF_Import!$E$1,Podesavanja!$AA$3:$AD$28, 4, 0)), "", VLOOKUP( APIF_Import!$C169, INDIRECT( "Lookup_" &amp; APIF_Import!$O169), VLOOKUP( APIF_Import!$O169 &amp; APIF_Import!$E$1,Podesavanja!$AA$3:$AD$28, 4, 0), 0))</f>
        <v>0</v>
      </c>
      <c r="F169" s="230" t="str">
        <f ca="1">IF( ISNA( VLOOKUP( APIF_Import!$O169 &amp; APIF_Import!$F$1,Podesavanja!$AA$3:$AD$28, 4, 0)), "", VLOOKUP( APIF_Import!$C169, INDIRECT( "Lookup_" &amp; APIF_Import!$O169), VLOOKUP( APIF_Import!$O169 &amp; APIF_Import!$F$1,Podesavanja!$AA$3:$AD$28, 4, 0), 0))</f>
        <v/>
      </c>
      <c r="G169" s="230" t="str">
        <f ca="1">IF( ISNA( VLOOKUP( APIF_Import!$O169 &amp; APIF_Import!$G$1,Podesavanja!$AA$3:$AD$28, 4, 0)), "", VLOOKUP( APIF_Import!$C169, INDIRECT( "Lookup_" &amp; APIF_Import!$O169), VLOOKUP( APIF_Import!$O169 &amp; APIF_Import!$G$1,Podesavanja!$AA$3:$AD$28, 4, 0), 0))</f>
        <v/>
      </c>
      <c r="H169" s="230" t="str">
        <f ca="1">IF( ISNA( VLOOKUP( APIF_Import!$O169 &amp; APIF_Import!$H$1,Podesavanja!$AA$3:$AD$28, 4, 0)), "", VLOOKUP( APIF_Import!$C169, INDIRECT( "Lookup_" &amp; APIF_Import!$O169), VLOOKUP( APIF_Import!$O169 &amp; APIF_Import!$H$1,Podesavanja!$AA$3:$AD$28, 4, 0), 0))</f>
        <v/>
      </c>
      <c r="I169" s="230" t="str">
        <f ca="1">IF( ISNA( VLOOKUP( APIF_Import!$O169 &amp; APIF_Import!$I$1,Podesavanja!$AA$3:$AD$28, 4, 0)), "", VLOOKUP( APIF_Import!$C169, INDIRECT( "Lookup_" &amp; APIF_Import!$M169:$O169), VLOOKUP( APIF_Import!$O169 &amp; APIF_Import!$I$1,Podesavanja!$AA$3:$AD$28, 4, 0), 0))</f>
        <v/>
      </c>
      <c r="J169" s="230" t="str">
        <f ca="1">IF( ISNA( VLOOKUP( APIF_Import!$O169 &amp; APIF_Import!$J$1,Podesavanja!$AA$3:$AD$28, 4, 0)), "", VLOOKUP( APIF_Import!$C169, INDIRECT( "Lookup_" &amp; APIF_Import!$M169:$O169), VLOOKUP( APIF_Import!$O169 &amp; APIF_Import!$J$1,Podesavanja!$AA$3:$AD$28, 4, 0), 0))</f>
        <v/>
      </c>
      <c r="K169" s="230" t="str">
        <f ca="1">IF( ISNA( VLOOKUP( APIF_Import!$O169 &amp; APIF_Import!$K$1,Podesavanja!$AA$3:$AD$28, 4, 0)), "", VLOOKUP( APIF_Import!$C169, INDIRECT( "Lookup_" &amp; APIF_Import!$M169:$O169), VLOOKUP( APIF_Import!$O169 &amp; APIF_Import!$K$1,Podesavanja!$AA$3:$AD$28, 4, 0), 0))</f>
        <v/>
      </c>
      <c r="L169" s="230" t="str">
        <f ca="1">IF( ISNA( VLOOKUP( APIF_Import!$O169 &amp; APIF_Import!$L$1,Podesavanja!$AA$3:$AD$28, 4, 0)), "", VLOOKUP( APIF_Import!$C169, INDIRECT( "Lookup_" &amp; APIF_Import!$M169:$O169), VLOOKUP( APIF_Import!$O169 &amp; APIF_Import!$L$1,Podesavanja!$AA$3:$AD$28, 4, 0), 0))</f>
        <v/>
      </c>
      <c r="M169" s="230" t="str">
        <f ca="1">IF( ISNA( VLOOKUP( APIF_Import!$O169 &amp; APIF_Import!$M$1,Podesavanja!$AA$3:$AD$28, 4, 0)), "", VLOOKUP( APIF_Import!$C169, INDIRECT( "Lookup_" &amp; APIF_Import!$M169:$O169), VLOOKUP( APIF_Import!$O169 &amp; APIF_Import!$M$1,Podesavanja!$AA$3:$AD$28, 4, 0), 0))</f>
        <v/>
      </c>
      <c r="N169" s="8">
        <v>168</v>
      </c>
      <c r="O169" s="230" t="s">
        <v>2377</v>
      </c>
    </row>
    <row r="170" spans="2:15">
      <c r="B170" s="44">
        <f ca="1">VLOOKUP( APIF_Import!$O170, Podesavanja!$N$3:$Q$9, 4, 0)</f>
        <v>3</v>
      </c>
      <c r="C170" s="229">
        <f ca="1">VLOOKUP( APIF_Import!$N170, Aop!$A$2:$P$456, 4, 0)</f>
        <v>231</v>
      </c>
      <c r="D170" s="230" t="str">
        <f ca="1">IF( ISNA( VLOOKUP( APIF_Import!$O170 &amp; APIF_Import!$D$1,Podesavanja!$AA$3:$AD$28, 4, 0)), "", SUBSTITUTE( VALUE( VLOOKUP( APIF_Import!$C170, INDIRECT( "Lookup_" &amp; APIF_Import!$O170), VLOOKUP( APIF_Import!$O170 &amp; APIF_Import!$D$1,Podesavanja!$AA$3:$AD$28, 4, 0), 0)), ".", ","))</f>
        <v>0</v>
      </c>
      <c r="E170" s="230">
        <f ca="1">IF( ISNA( VLOOKUP( APIF_Import!$O170 &amp; APIF_Import!$E$1,Podesavanja!$AA$3:$AD$28, 4, 0)), "", VLOOKUP( APIF_Import!$C170, INDIRECT( "Lookup_" &amp; APIF_Import!$O170), VLOOKUP( APIF_Import!$O170 &amp; APIF_Import!$E$1,Podesavanja!$AA$3:$AD$28, 4, 0), 0))</f>
        <v>0</v>
      </c>
      <c r="F170" s="230" t="str">
        <f ca="1">IF( ISNA( VLOOKUP( APIF_Import!$O170 &amp; APIF_Import!$F$1,Podesavanja!$AA$3:$AD$28, 4, 0)), "", VLOOKUP( APIF_Import!$C170, INDIRECT( "Lookup_" &amp; APIF_Import!$O170), VLOOKUP( APIF_Import!$O170 &amp; APIF_Import!$F$1,Podesavanja!$AA$3:$AD$28, 4, 0), 0))</f>
        <v/>
      </c>
      <c r="G170" s="230" t="str">
        <f ca="1">IF( ISNA( VLOOKUP( APIF_Import!$O170 &amp; APIF_Import!$G$1,Podesavanja!$AA$3:$AD$28, 4, 0)), "", VLOOKUP( APIF_Import!$C170, INDIRECT( "Lookup_" &amp; APIF_Import!$O170), VLOOKUP( APIF_Import!$O170 &amp; APIF_Import!$G$1,Podesavanja!$AA$3:$AD$28, 4, 0), 0))</f>
        <v/>
      </c>
      <c r="H170" s="230" t="str">
        <f ca="1">IF( ISNA( VLOOKUP( APIF_Import!$O170 &amp; APIF_Import!$H$1,Podesavanja!$AA$3:$AD$28, 4, 0)), "", VLOOKUP( APIF_Import!$C170, INDIRECT( "Lookup_" &amp; APIF_Import!$O170), VLOOKUP( APIF_Import!$O170 &amp; APIF_Import!$H$1,Podesavanja!$AA$3:$AD$28, 4, 0), 0))</f>
        <v/>
      </c>
      <c r="I170" s="230" t="str">
        <f ca="1">IF( ISNA( VLOOKUP( APIF_Import!$O170 &amp; APIF_Import!$I$1,Podesavanja!$AA$3:$AD$28, 4, 0)), "", VLOOKUP( APIF_Import!$C170, INDIRECT( "Lookup_" &amp; APIF_Import!$M170:$O170), VLOOKUP( APIF_Import!$O170 &amp; APIF_Import!$I$1,Podesavanja!$AA$3:$AD$28, 4, 0), 0))</f>
        <v/>
      </c>
      <c r="J170" s="230" t="str">
        <f ca="1">IF( ISNA( VLOOKUP( APIF_Import!$O170 &amp; APIF_Import!$J$1,Podesavanja!$AA$3:$AD$28, 4, 0)), "", VLOOKUP( APIF_Import!$C170, INDIRECT( "Lookup_" &amp; APIF_Import!$M170:$O170), VLOOKUP( APIF_Import!$O170 &amp; APIF_Import!$J$1,Podesavanja!$AA$3:$AD$28, 4, 0), 0))</f>
        <v/>
      </c>
      <c r="K170" s="230" t="str">
        <f ca="1">IF( ISNA( VLOOKUP( APIF_Import!$O170 &amp; APIF_Import!$K$1,Podesavanja!$AA$3:$AD$28, 4, 0)), "", VLOOKUP( APIF_Import!$C170, INDIRECT( "Lookup_" &amp; APIF_Import!$M170:$O170), VLOOKUP( APIF_Import!$O170 &amp; APIF_Import!$K$1,Podesavanja!$AA$3:$AD$28, 4, 0), 0))</f>
        <v/>
      </c>
      <c r="L170" s="230" t="str">
        <f ca="1">IF( ISNA( VLOOKUP( APIF_Import!$O170 &amp; APIF_Import!$L$1,Podesavanja!$AA$3:$AD$28, 4, 0)), "", VLOOKUP( APIF_Import!$C170, INDIRECT( "Lookup_" &amp; APIF_Import!$M170:$O170), VLOOKUP( APIF_Import!$O170 &amp; APIF_Import!$L$1,Podesavanja!$AA$3:$AD$28, 4, 0), 0))</f>
        <v/>
      </c>
      <c r="M170" s="230" t="str">
        <f ca="1">IF( ISNA( VLOOKUP( APIF_Import!$O170 &amp; APIF_Import!$M$1,Podesavanja!$AA$3:$AD$28, 4, 0)), "", VLOOKUP( APIF_Import!$C170, INDIRECT( "Lookup_" &amp; APIF_Import!$M170:$O170), VLOOKUP( APIF_Import!$O170 &amp; APIF_Import!$M$1,Podesavanja!$AA$3:$AD$28, 4, 0), 0))</f>
        <v/>
      </c>
      <c r="N170" s="8">
        <v>169</v>
      </c>
      <c r="O170" s="230" t="s">
        <v>2377</v>
      </c>
    </row>
    <row r="171" spans="2:15">
      <c r="B171" s="44">
        <f ca="1">VLOOKUP( APIF_Import!$O171, Podesavanja!$N$3:$Q$9, 4, 0)</f>
        <v>3</v>
      </c>
      <c r="C171" s="229">
        <f ca="1">VLOOKUP( APIF_Import!$N171, Aop!$A$2:$P$456, 4, 0)</f>
        <v>232</v>
      </c>
      <c r="D171" s="230" t="str">
        <f ca="1">IF( ISNA( VLOOKUP( APIF_Import!$O171 &amp; APIF_Import!$D$1,Podesavanja!$AA$3:$AD$28, 4, 0)), "", SUBSTITUTE( VALUE( VLOOKUP( APIF_Import!$C171, INDIRECT( "Lookup_" &amp; APIF_Import!$O171), VLOOKUP( APIF_Import!$O171 &amp; APIF_Import!$D$1,Podesavanja!$AA$3:$AD$28, 4, 0), 0)), ".", ","))</f>
        <v>0</v>
      </c>
      <c r="E171" s="230">
        <f ca="1">IF( ISNA( VLOOKUP( APIF_Import!$O171 &amp; APIF_Import!$E$1,Podesavanja!$AA$3:$AD$28, 4, 0)), "", VLOOKUP( APIF_Import!$C171, INDIRECT( "Lookup_" &amp; APIF_Import!$O171), VLOOKUP( APIF_Import!$O171 &amp; APIF_Import!$E$1,Podesavanja!$AA$3:$AD$28, 4, 0), 0))</f>
        <v>0</v>
      </c>
      <c r="F171" s="230" t="str">
        <f ca="1">IF( ISNA( VLOOKUP( APIF_Import!$O171 &amp; APIF_Import!$F$1,Podesavanja!$AA$3:$AD$28, 4, 0)), "", VLOOKUP( APIF_Import!$C171, INDIRECT( "Lookup_" &amp; APIF_Import!$O171), VLOOKUP( APIF_Import!$O171 &amp; APIF_Import!$F$1,Podesavanja!$AA$3:$AD$28, 4, 0), 0))</f>
        <v/>
      </c>
      <c r="G171" s="230" t="str">
        <f ca="1">IF( ISNA( VLOOKUP( APIF_Import!$O171 &amp; APIF_Import!$G$1,Podesavanja!$AA$3:$AD$28, 4, 0)), "", VLOOKUP( APIF_Import!$C171, INDIRECT( "Lookup_" &amp; APIF_Import!$O171), VLOOKUP( APIF_Import!$O171 &amp; APIF_Import!$G$1,Podesavanja!$AA$3:$AD$28, 4, 0), 0))</f>
        <v/>
      </c>
      <c r="H171" s="230" t="str">
        <f ca="1">IF( ISNA( VLOOKUP( APIF_Import!$O171 &amp; APIF_Import!$H$1,Podesavanja!$AA$3:$AD$28, 4, 0)), "", VLOOKUP( APIF_Import!$C171, INDIRECT( "Lookup_" &amp; APIF_Import!$O171), VLOOKUP( APIF_Import!$O171 &amp; APIF_Import!$H$1,Podesavanja!$AA$3:$AD$28, 4, 0), 0))</f>
        <v/>
      </c>
      <c r="I171" s="230" t="str">
        <f ca="1">IF( ISNA( VLOOKUP( APIF_Import!$O171 &amp; APIF_Import!$I$1,Podesavanja!$AA$3:$AD$28, 4, 0)), "", VLOOKUP( APIF_Import!$C171, INDIRECT( "Lookup_" &amp; APIF_Import!$M171:$O171), VLOOKUP( APIF_Import!$O171 &amp; APIF_Import!$I$1,Podesavanja!$AA$3:$AD$28, 4, 0), 0))</f>
        <v/>
      </c>
      <c r="J171" s="230" t="str">
        <f ca="1">IF( ISNA( VLOOKUP( APIF_Import!$O171 &amp; APIF_Import!$J$1,Podesavanja!$AA$3:$AD$28, 4, 0)), "", VLOOKUP( APIF_Import!$C171, INDIRECT( "Lookup_" &amp; APIF_Import!$M171:$O171), VLOOKUP( APIF_Import!$O171 &amp; APIF_Import!$J$1,Podesavanja!$AA$3:$AD$28, 4, 0), 0))</f>
        <v/>
      </c>
      <c r="K171" s="230" t="str">
        <f ca="1">IF( ISNA( VLOOKUP( APIF_Import!$O171 &amp; APIF_Import!$K$1,Podesavanja!$AA$3:$AD$28, 4, 0)), "", VLOOKUP( APIF_Import!$C171, INDIRECT( "Lookup_" &amp; APIF_Import!$M171:$O171), VLOOKUP( APIF_Import!$O171 &amp; APIF_Import!$K$1,Podesavanja!$AA$3:$AD$28, 4, 0), 0))</f>
        <v/>
      </c>
      <c r="L171" s="230" t="str">
        <f ca="1">IF( ISNA( VLOOKUP( APIF_Import!$O171 &amp; APIF_Import!$L$1,Podesavanja!$AA$3:$AD$28, 4, 0)), "", VLOOKUP( APIF_Import!$C171, INDIRECT( "Lookup_" &amp; APIF_Import!$M171:$O171), VLOOKUP( APIF_Import!$O171 &amp; APIF_Import!$L$1,Podesavanja!$AA$3:$AD$28, 4, 0), 0))</f>
        <v/>
      </c>
      <c r="M171" s="230" t="str">
        <f ca="1">IF( ISNA( VLOOKUP( APIF_Import!$O171 &amp; APIF_Import!$M$1,Podesavanja!$AA$3:$AD$28, 4, 0)), "", VLOOKUP( APIF_Import!$C171, INDIRECT( "Lookup_" &amp; APIF_Import!$M171:$O171), VLOOKUP( APIF_Import!$O171 &amp; APIF_Import!$M$1,Podesavanja!$AA$3:$AD$28, 4, 0), 0))</f>
        <v/>
      </c>
      <c r="N171" s="8">
        <v>170</v>
      </c>
      <c r="O171" s="230" t="s">
        <v>2377</v>
      </c>
    </row>
    <row r="172" spans="2:15">
      <c r="B172" s="44">
        <f ca="1">VLOOKUP( APIF_Import!$O172, Podesavanja!$N$3:$Q$9, 4, 0)</f>
        <v>3</v>
      </c>
      <c r="C172" s="229">
        <f ca="1">VLOOKUP( APIF_Import!$N172, Aop!$A$2:$P$456, 4, 0)</f>
        <v>233</v>
      </c>
      <c r="D172" s="230" t="str">
        <f ca="1">IF( ISNA( VLOOKUP( APIF_Import!$O172 &amp; APIF_Import!$D$1,Podesavanja!$AA$3:$AD$28, 4, 0)), "", SUBSTITUTE( VALUE( VLOOKUP( APIF_Import!$C172, INDIRECT( "Lookup_" &amp; APIF_Import!$O172), VLOOKUP( APIF_Import!$O172 &amp; APIF_Import!$D$1,Podesavanja!$AA$3:$AD$28, 4, 0), 0)), ".", ","))</f>
        <v>0</v>
      </c>
      <c r="E172" s="230">
        <f ca="1">IF( ISNA( VLOOKUP( APIF_Import!$O172 &amp; APIF_Import!$E$1,Podesavanja!$AA$3:$AD$28, 4, 0)), "", VLOOKUP( APIF_Import!$C172, INDIRECT( "Lookup_" &amp; APIF_Import!$O172), VLOOKUP( APIF_Import!$O172 &amp; APIF_Import!$E$1,Podesavanja!$AA$3:$AD$28, 4, 0), 0))</f>
        <v>0</v>
      </c>
      <c r="F172" s="230" t="str">
        <f ca="1">IF( ISNA( VLOOKUP( APIF_Import!$O172 &amp; APIF_Import!$F$1,Podesavanja!$AA$3:$AD$28, 4, 0)), "", VLOOKUP( APIF_Import!$C172, INDIRECT( "Lookup_" &amp; APIF_Import!$O172), VLOOKUP( APIF_Import!$O172 &amp; APIF_Import!$F$1,Podesavanja!$AA$3:$AD$28, 4, 0), 0))</f>
        <v/>
      </c>
      <c r="G172" s="230" t="str">
        <f ca="1">IF( ISNA( VLOOKUP( APIF_Import!$O172 &amp; APIF_Import!$G$1,Podesavanja!$AA$3:$AD$28, 4, 0)), "", VLOOKUP( APIF_Import!$C172, INDIRECT( "Lookup_" &amp; APIF_Import!$O172), VLOOKUP( APIF_Import!$O172 &amp; APIF_Import!$G$1,Podesavanja!$AA$3:$AD$28, 4, 0), 0))</f>
        <v/>
      </c>
      <c r="H172" s="230" t="str">
        <f ca="1">IF( ISNA( VLOOKUP( APIF_Import!$O172 &amp; APIF_Import!$H$1,Podesavanja!$AA$3:$AD$28, 4, 0)), "", VLOOKUP( APIF_Import!$C172, INDIRECT( "Lookup_" &amp; APIF_Import!$O172), VLOOKUP( APIF_Import!$O172 &amp; APIF_Import!$H$1,Podesavanja!$AA$3:$AD$28, 4, 0), 0))</f>
        <v/>
      </c>
      <c r="I172" s="230" t="str">
        <f ca="1">IF( ISNA( VLOOKUP( APIF_Import!$O172 &amp; APIF_Import!$I$1,Podesavanja!$AA$3:$AD$28, 4, 0)), "", VLOOKUP( APIF_Import!$C172, INDIRECT( "Lookup_" &amp; APIF_Import!$M172:$O172), VLOOKUP( APIF_Import!$O172 &amp; APIF_Import!$I$1,Podesavanja!$AA$3:$AD$28, 4, 0), 0))</f>
        <v/>
      </c>
      <c r="J172" s="230" t="str">
        <f ca="1">IF( ISNA( VLOOKUP( APIF_Import!$O172 &amp; APIF_Import!$J$1,Podesavanja!$AA$3:$AD$28, 4, 0)), "", VLOOKUP( APIF_Import!$C172, INDIRECT( "Lookup_" &amp; APIF_Import!$M172:$O172), VLOOKUP( APIF_Import!$O172 &amp; APIF_Import!$J$1,Podesavanja!$AA$3:$AD$28, 4, 0), 0))</f>
        <v/>
      </c>
      <c r="K172" s="230" t="str">
        <f ca="1">IF( ISNA( VLOOKUP( APIF_Import!$O172 &amp; APIF_Import!$K$1,Podesavanja!$AA$3:$AD$28, 4, 0)), "", VLOOKUP( APIF_Import!$C172, INDIRECT( "Lookup_" &amp; APIF_Import!$M172:$O172), VLOOKUP( APIF_Import!$O172 &amp; APIF_Import!$K$1,Podesavanja!$AA$3:$AD$28, 4, 0), 0))</f>
        <v/>
      </c>
      <c r="L172" s="230" t="str">
        <f ca="1">IF( ISNA( VLOOKUP( APIF_Import!$O172 &amp; APIF_Import!$L$1,Podesavanja!$AA$3:$AD$28, 4, 0)), "", VLOOKUP( APIF_Import!$C172, INDIRECT( "Lookup_" &amp; APIF_Import!$M172:$O172), VLOOKUP( APIF_Import!$O172 &amp; APIF_Import!$L$1,Podesavanja!$AA$3:$AD$28, 4, 0), 0))</f>
        <v/>
      </c>
      <c r="M172" s="230" t="str">
        <f ca="1">IF( ISNA( VLOOKUP( APIF_Import!$O172 &amp; APIF_Import!$M$1,Podesavanja!$AA$3:$AD$28, 4, 0)), "", VLOOKUP( APIF_Import!$C172, INDIRECT( "Lookup_" &amp; APIF_Import!$M172:$O172), VLOOKUP( APIF_Import!$O172 &amp; APIF_Import!$M$1,Podesavanja!$AA$3:$AD$28, 4, 0), 0))</f>
        <v/>
      </c>
      <c r="N172" s="8">
        <v>171</v>
      </c>
      <c r="O172" s="230" t="s">
        <v>2377</v>
      </c>
    </row>
    <row r="173" spans="2:15">
      <c r="B173" s="44">
        <f ca="1">VLOOKUP( APIF_Import!$O173, Podesavanja!$N$3:$Q$9, 4, 0)</f>
        <v>3</v>
      </c>
      <c r="C173" s="229">
        <f ca="1">VLOOKUP( APIF_Import!$N173, Aop!$A$2:$P$456, 4, 0)</f>
        <v>234</v>
      </c>
      <c r="D173" s="230" t="str">
        <f ca="1">IF( ISNA( VLOOKUP( APIF_Import!$O173 &amp; APIF_Import!$D$1,Podesavanja!$AA$3:$AD$28, 4, 0)), "", SUBSTITUTE( VALUE( VLOOKUP( APIF_Import!$C173, INDIRECT( "Lookup_" &amp; APIF_Import!$O173), VLOOKUP( APIF_Import!$O173 &amp; APIF_Import!$D$1,Podesavanja!$AA$3:$AD$28, 4, 0), 0)), ".", ","))</f>
        <v>54410</v>
      </c>
      <c r="E173" s="230">
        <f ca="1">IF( ISNA( VLOOKUP( APIF_Import!$O173 &amp; APIF_Import!$E$1,Podesavanja!$AA$3:$AD$28, 4, 0)), "", VLOOKUP( APIF_Import!$C173, INDIRECT( "Lookup_" &amp; APIF_Import!$O173), VLOOKUP( APIF_Import!$O173 &amp; APIF_Import!$E$1,Podesavanja!$AA$3:$AD$28, 4, 0), 0))</f>
        <v>77741</v>
      </c>
      <c r="F173" s="230" t="str">
        <f ca="1">IF( ISNA( VLOOKUP( APIF_Import!$O173 &amp; APIF_Import!$F$1,Podesavanja!$AA$3:$AD$28, 4, 0)), "", VLOOKUP( APIF_Import!$C173, INDIRECT( "Lookup_" &amp; APIF_Import!$O173), VLOOKUP( APIF_Import!$O173 &amp; APIF_Import!$F$1,Podesavanja!$AA$3:$AD$28, 4, 0), 0))</f>
        <v/>
      </c>
      <c r="G173" s="230" t="str">
        <f ca="1">IF( ISNA( VLOOKUP( APIF_Import!$O173 &amp; APIF_Import!$G$1,Podesavanja!$AA$3:$AD$28, 4, 0)), "", VLOOKUP( APIF_Import!$C173, INDIRECT( "Lookup_" &amp; APIF_Import!$O173), VLOOKUP( APIF_Import!$O173 &amp; APIF_Import!$G$1,Podesavanja!$AA$3:$AD$28, 4, 0), 0))</f>
        <v/>
      </c>
      <c r="H173" s="230" t="str">
        <f ca="1">IF( ISNA( VLOOKUP( APIF_Import!$O173 &amp; APIF_Import!$H$1,Podesavanja!$AA$3:$AD$28, 4, 0)), "", VLOOKUP( APIF_Import!$C173, INDIRECT( "Lookup_" &amp; APIF_Import!$O173), VLOOKUP( APIF_Import!$O173 &amp; APIF_Import!$H$1,Podesavanja!$AA$3:$AD$28, 4, 0), 0))</f>
        <v/>
      </c>
      <c r="I173" s="230" t="str">
        <f ca="1">IF( ISNA( VLOOKUP( APIF_Import!$O173 &amp; APIF_Import!$I$1,Podesavanja!$AA$3:$AD$28, 4, 0)), "", VLOOKUP( APIF_Import!$C173, INDIRECT( "Lookup_" &amp; APIF_Import!$M173:$O173), VLOOKUP( APIF_Import!$O173 &amp; APIF_Import!$I$1,Podesavanja!$AA$3:$AD$28, 4, 0), 0))</f>
        <v/>
      </c>
      <c r="J173" s="230" t="str">
        <f ca="1">IF( ISNA( VLOOKUP( APIF_Import!$O173 &amp; APIF_Import!$J$1,Podesavanja!$AA$3:$AD$28, 4, 0)), "", VLOOKUP( APIF_Import!$C173, INDIRECT( "Lookup_" &amp; APIF_Import!$M173:$O173), VLOOKUP( APIF_Import!$O173 &amp; APIF_Import!$J$1,Podesavanja!$AA$3:$AD$28, 4, 0), 0))</f>
        <v/>
      </c>
      <c r="K173" s="230" t="str">
        <f ca="1">IF( ISNA( VLOOKUP( APIF_Import!$O173 &amp; APIF_Import!$K$1,Podesavanja!$AA$3:$AD$28, 4, 0)), "", VLOOKUP( APIF_Import!$C173, INDIRECT( "Lookup_" &amp; APIF_Import!$M173:$O173), VLOOKUP( APIF_Import!$O173 &amp; APIF_Import!$K$1,Podesavanja!$AA$3:$AD$28, 4, 0), 0))</f>
        <v/>
      </c>
      <c r="L173" s="230" t="str">
        <f ca="1">IF( ISNA( VLOOKUP( APIF_Import!$O173 &amp; APIF_Import!$L$1,Podesavanja!$AA$3:$AD$28, 4, 0)), "", VLOOKUP( APIF_Import!$C173, INDIRECT( "Lookup_" &amp; APIF_Import!$M173:$O173), VLOOKUP( APIF_Import!$O173 &amp; APIF_Import!$L$1,Podesavanja!$AA$3:$AD$28, 4, 0), 0))</f>
        <v/>
      </c>
      <c r="M173" s="230" t="str">
        <f ca="1">IF( ISNA( VLOOKUP( APIF_Import!$O173 &amp; APIF_Import!$M$1,Podesavanja!$AA$3:$AD$28, 4, 0)), "", VLOOKUP( APIF_Import!$C173, INDIRECT( "Lookup_" &amp; APIF_Import!$M173:$O173), VLOOKUP( APIF_Import!$O173 &amp; APIF_Import!$M$1,Podesavanja!$AA$3:$AD$28, 4, 0), 0))</f>
        <v/>
      </c>
      <c r="N173" s="8">
        <v>172</v>
      </c>
      <c r="O173" s="230" t="s">
        <v>2377</v>
      </c>
    </row>
    <row r="174" spans="2:15">
      <c r="B174" s="44">
        <f ca="1">VLOOKUP( APIF_Import!$O174, Podesavanja!$N$3:$Q$9, 4, 0)</f>
        <v>3</v>
      </c>
      <c r="C174" s="229">
        <f ca="1">VLOOKUP( APIF_Import!$N174, Aop!$A$2:$P$456, 4, 0)</f>
        <v>235</v>
      </c>
      <c r="D174" s="230" t="str">
        <f ca="1">IF( ISNA( VLOOKUP( APIF_Import!$O174 &amp; APIF_Import!$D$1,Podesavanja!$AA$3:$AD$28, 4, 0)), "", SUBSTITUTE( VALUE( VLOOKUP( APIF_Import!$C174, INDIRECT( "Lookup_" &amp; APIF_Import!$O174), VLOOKUP( APIF_Import!$O174 &amp; APIF_Import!$D$1,Podesavanja!$AA$3:$AD$28, 4, 0), 0)), ".", ","))</f>
        <v>27329</v>
      </c>
      <c r="E174" s="230">
        <f ca="1">IF( ISNA( VLOOKUP( APIF_Import!$O174 &amp; APIF_Import!$E$1,Podesavanja!$AA$3:$AD$28, 4, 0)), "", VLOOKUP( APIF_Import!$C174, INDIRECT( "Lookup_" &amp; APIF_Import!$O174), VLOOKUP( APIF_Import!$O174 &amp; APIF_Import!$E$1,Podesavanja!$AA$3:$AD$28, 4, 0), 0))</f>
        <v>11237</v>
      </c>
      <c r="F174" s="230" t="str">
        <f ca="1">IF( ISNA( VLOOKUP( APIF_Import!$O174 &amp; APIF_Import!$F$1,Podesavanja!$AA$3:$AD$28, 4, 0)), "", VLOOKUP( APIF_Import!$C174, INDIRECT( "Lookup_" &amp; APIF_Import!$O174), VLOOKUP( APIF_Import!$O174 &amp; APIF_Import!$F$1,Podesavanja!$AA$3:$AD$28, 4, 0), 0))</f>
        <v/>
      </c>
      <c r="G174" s="230" t="str">
        <f ca="1">IF( ISNA( VLOOKUP( APIF_Import!$O174 &amp; APIF_Import!$G$1,Podesavanja!$AA$3:$AD$28, 4, 0)), "", VLOOKUP( APIF_Import!$C174, INDIRECT( "Lookup_" &amp; APIF_Import!$O174), VLOOKUP( APIF_Import!$O174 &amp; APIF_Import!$G$1,Podesavanja!$AA$3:$AD$28, 4, 0), 0))</f>
        <v/>
      </c>
      <c r="H174" s="230" t="str">
        <f ca="1">IF( ISNA( VLOOKUP( APIF_Import!$O174 &amp; APIF_Import!$H$1,Podesavanja!$AA$3:$AD$28, 4, 0)), "", VLOOKUP( APIF_Import!$C174, INDIRECT( "Lookup_" &amp; APIF_Import!$O174), VLOOKUP( APIF_Import!$O174 &amp; APIF_Import!$H$1,Podesavanja!$AA$3:$AD$28, 4, 0), 0))</f>
        <v/>
      </c>
      <c r="I174" s="230" t="str">
        <f ca="1">IF( ISNA( VLOOKUP( APIF_Import!$O174 &amp; APIF_Import!$I$1,Podesavanja!$AA$3:$AD$28, 4, 0)), "", VLOOKUP( APIF_Import!$C174, INDIRECT( "Lookup_" &amp; APIF_Import!$M174:$O174), VLOOKUP( APIF_Import!$O174 &amp; APIF_Import!$I$1,Podesavanja!$AA$3:$AD$28, 4, 0), 0))</f>
        <v/>
      </c>
      <c r="J174" s="230" t="str">
        <f ca="1">IF( ISNA( VLOOKUP( APIF_Import!$O174 &amp; APIF_Import!$J$1,Podesavanja!$AA$3:$AD$28, 4, 0)), "", VLOOKUP( APIF_Import!$C174, INDIRECT( "Lookup_" &amp; APIF_Import!$M174:$O174), VLOOKUP( APIF_Import!$O174 &amp; APIF_Import!$J$1,Podesavanja!$AA$3:$AD$28, 4, 0), 0))</f>
        <v/>
      </c>
      <c r="K174" s="230" t="str">
        <f ca="1">IF( ISNA( VLOOKUP( APIF_Import!$O174 &amp; APIF_Import!$K$1,Podesavanja!$AA$3:$AD$28, 4, 0)), "", VLOOKUP( APIF_Import!$C174, INDIRECT( "Lookup_" &amp; APIF_Import!$M174:$O174), VLOOKUP( APIF_Import!$O174 &amp; APIF_Import!$K$1,Podesavanja!$AA$3:$AD$28, 4, 0), 0))</f>
        <v/>
      </c>
      <c r="L174" s="230" t="str">
        <f ca="1">IF( ISNA( VLOOKUP( APIF_Import!$O174 &amp; APIF_Import!$L$1,Podesavanja!$AA$3:$AD$28, 4, 0)), "", VLOOKUP( APIF_Import!$C174, INDIRECT( "Lookup_" &amp; APIF_Import!$M174:$O174), VLOOKUP( APIF_Import!$O174 &amp; APIF_Import!$L$1,Podesavanja!$AA$3:$AD$28, 4, 0), 0))</f>
        <v/>
      </c>
      <c r="M174" s="230" t="str">
        <f ca="1">IF( ISNA( VLOOKUP( APIF_Import!$O174 &amp; APIF_Import!$M$1,Podesavanja!$AA$3:$AD$28, 4, 0)), "", VLOOKUP( APIF_Import!$C174, INDIRECT( "Lookup_" &amp; APIF_Import!$M174:$O174), VLOOKUP( APIF_Import!$O174 &amp; APIF_Import!$M$1,Podesavanja!$AA$3:$AD$28, 4, 0), 0))</f>
        <v/>
      </c>
      <c r="N174" s="8">
        <v>173</v>
      </c>
      <c r="O174" s="230" t="s">
        <v>2377</v>
      </c>
    </row>
    <row r="175" spans="2:15">
      <c r="B175" s="44">
        <f ca="1">VLOOKUP( APIF_Import!$O175, Podesavanja!$N$3:$Q$9, 4, 0)</f>
        <v>3</v>
      </c>
      <c r="C175" s="229">
        <f ca="1">VLOOKUP( APIF_Import!$N175, Aop!$A$2:$P$456, 4, 0)</f>
        <v>236</v>
      </c>
      <c r="D175" s="230" t="str">
        <f ca="1">IF( ISNA( VLOOKUP( APIF_Import!$O175 &amp; APIF_Import!$D$1,Podesavanja!$AA$3:$AD$28, 4, 0)), "", SUBSTITUTE( VALUE( VLOOKUP( APIF_Import!$C175, INDIRECT( "Lookup_" &amp; APIF_Import!$O175), VLOOKUP( APIF_Import!$O175 &amp; APIF_Import!$D$1,Podesavanja!$AA$3:$AD$28, 4, 0), 0)), ".", ","))</f>
        <v>2631</v>
      </c>
      <c r="E175" s="230">
        <f ca="1">IF( ISNA( VLOOKUP( APIF_Import!$O175 &amp; APIF_Import!$E$1,Podesavanja!$AA$3:$AD$28, 4, 0)), "", VLOOKUP( APIF_Import!$C175, INDIRECT( "Lookup_" &amp; APIF_Import!$O175), VLOOKUP( APIF_Import!$O175 &amp; APIF_Import!$E$1,Podesavanja!$AA$3:$AD$28, 4, 0), 0))</f>
        <v>1791</v>
      </c>
      <c r="F175" s="230" t="str">
        <f ca="1">IF( ISNA( VLOOKUP( APIF_Import!$O175 &amp; APIF_Import!$F$1,Podesavanja!$AA$3:$AD$28, 4, 0)), "", VLOOKUP( APIF_Import!$C175, INDIRECT( "Lookup_" &amp; APIF_Import!$O175), VLOOKUP( APIF_Import!$O175 &amp; APIF_Import!$F$1,Podesavanja!$AA$3:$AD$28, 4, 0), 0))</f>
        <v/>
      </c>
      <c r="G175" s="230" t="str">
        <f ca="1">IF( ISNA( VLOOKUP( APIF_Import!$O175 &amp; APIF_Import!$G$1,Podesavanja!$AA$3:$AD$28, 4, 0)), "", VLOOKUP( APIF_Import!$C175, INDIRECT( "Lookup_" &amp; APIF_Import!$O175), VLOOKUP( APIF_Import!$O175 &amp; APIF_Import!$G$1,Podesavanja!$AA$3:$AD$28, 4, 0), 0))</f>
        <v/>
      </c>
      <c r="H175" s="230" t="str">
        <f ca="1">IF( ISNA( VLOOKUP( APIF_Import!$O175 &amp; APIF_Import!$H$1,Podesavanja!$AA$3:$AD$28, 4, 0)), "", VLOOKUP( APIF_Import!$C175, INDIRECT( "Lookup_" &amp; APIF_Import!$O175), VLOOKUP( APIF_Import!$O175 &amp; APIF_Import!$H$1,Podesavanja!$AA$3:$AD$28, 4, 0), 0))</f>
        <v/>
      </c>
      <c r="I175" s="230" t="str">
        <f ca="1">IF( ISNA( VLOOKUP( APIF_Import!$O175 &amp; APIF_Import!$I$1,Podesavanja!$AA$3:$AD$28, 4, 0)), "", VLOOKUP( APIF_Import!$C175, INDIRECT( "Lookup_" &amp; APIF_Import!$M175:$O175), VLOOKUP( APIF_Import!$O175 &amp; APIF_Import!$I$1,Podesavanja!$AA$3:$AD$28, 4, 0), 0))</f>
        <v/>
      </c>
      <c r="J175" s="230" t="str">
        <f ca="1">IF( ISNA( VLOOKUP( APIF_Import!$O175 &amp; APIF_Import!$J$1,Podesavanja!$AA$3:$AD$28, 4, 0)), "", VLOOKUP( APIF_Import!$C175, INDIRECT( "Lookup_" &amp; APIF_Import!$M175:$O175), VLOOKUP( APIF_Import!$O175 &amp; APIF_Import!$J$1,Podesavanja!$AA$3:$AD$28, 4, 0), 0))</f>
        <v/>
      </c>
      <c r="K175" s="230" t="str">
        <f ca="1">IF( ISNA( VLOOKUP( APIF_Import!$O175 &amp; APIF_Import!$K$1,Podesavanja!$AA$3:$AD$28, 4, 0)), "", VLOOKUP( APIF_Import!$C175, INDIRECT( "Lookup_" &amp; APIF_Import!$M175:$O175), VLOOKUP( APIF_Import!$O175 &amp; APIF_Import!$K$1,Podesavanja!$AA$3:$AD$28, 4, 0), 0))</f>
        <v/>
      </c>
      <c r="L175" s="230" t="str">
        <f ca="1">IF( ISNA( VLOOKUP( APIF_Import!$O175 &amp; APIF_Import!$L$1,Podesavanja!$AA$3:$AD$28, 4, 0)), "", VLOOKUP( APIF_Import!$C175, INDIRECT( "Lookup_" &amp; APIF_Import!$M175:$O175), VLOOKUP( APIF_Import!$O175 &amp; APIF_Import!$L$1,Podesavanja!$AA$3:$AD$28, 4, 0), 0))</f>
        <v/>
      </c>
      <c r="M175" s="230" t="str">
        <f ca="1">IF( ISNA( VLOOKUP( APIF_Import!$O175 &amp; APIF_Import!$M$1,Podesavanja!$AA$3:$AD$28, 4, 0)), "", VLOOKUP( APIF_Import!$C175, INDIRECT( "Lookup_" &amp; APIF_Import!$M175:$O175), VLOOKUP( APIF_Import!$O175 &amp; APIF_Import!$M$1,Podesavanja!$AA$3:$AD$28, 4, 0), 0))</f>
        <v/>
      </c>
      <c r="N175" s="8">
        <v>174</v>
      </c>
      <c r="O175" s="230" t="s">
        <v>2377</v>
      </c>
    </row>
    <row r="176" spans="2:15">
      <c r="B176" s="44">
        <f ca="1">VLOOKUP( APIF_Import!$O176, Podesavanja!$N$3:$Q$9, 4, 0)</f>
        <v>3</v>
      </c>
      <c r="C176" s="229">
        <f ca="1">VLOOKUP( APIF_Import!$N176, Aop!$A$2:$P$456, 4, 0)</f>
        <v>237</v>
      </c>
      <c r="D176" s="230" t="str">
        <f ca="1">IF( ISNA( VLOOKUP( APIF_Import!$O176 &amp; APIF_Import!$D$1,Podesavanja!$AA$3:$AD$28, 4, 0)), "", SUBSTITUTE( VALUE( VLOOKUP( APIF_Import!$C176, INDIRECT( "Lookup_" &amp; APIF_Import!$O176), VLOOKUP( APIF_Import!$O176 &amp; APIF_Import!$D$1,Podesavanja!$AA$3:$AD$28, 4, 0), 0)), ".", ","))</f>
        <v>16470040</v>
      </c>
      <c r="E176" s="230">
        <f ca="1">IF( ISNA( VLOOKUP( APIF_Import!$O176 &amp; APIF_Import!$E$1,Podesavanja!$AA$3:$AD$28, 4, 0)), "", VLOOKUP( APIF_Import!$C176, INDIRECT( "Lookup_" &amp; APIF_Import!$O176), VLOOKUP( APIF_Import!$O176 &amp; APIF_Import!$E$1,Podesavanja!$AA$3:$AD$28, 4, 0), 0))</f>
        <v>0</v>
      </c>
      <c r="F176" s="230" t="str">
        <f ca="1">IF( ISNA( VLOOKUP( APIF_Import!$O176 &amp; APIF_Import!$F$1,Podesavanja!$AA$3:$AD$28, 4, 0)), "", VLOOKUP( APIF_Import!$C176, INDIRECT( "Lookup_" &amp; APIF_Import!$O176), VLOOKUP( APIF_Import!$O176 &amp; APIF_Import!$F$1,Podesavanja!$AA$3:$AD$28, 4, 0), 0))</f>
        <v/>
      </c>
      <c r="G176" s="230" t="str">
        <f ca="1">IF( ISNA( VLOOKUP( APIF_Import!$O176 &amp; APIF_Import!$G$1,Podesavanja!$AA$3:$AD$28, 4, 0)), "", VLOOKUP( APIF_Import!$C176, INDIRECT( "Lookup_" &amp; APIF_Import!$O176), VLOOKUP( APIF_Import!$O176 &amp; APIF_Import!$G$1,Podesavanja!$AA$3:$AD$28, 4, 0), 0))</f>
        <v/>
      </c>
      <c r="H176" s="230" t="str">
        <f ca="1">IF( ISNA( VLOOKUP( APIF_Import!$O176 &amp; APIF_Import!$H$1,Podesavanja!$AA$3:$AD$28, 4, 0)), "", VLOOKUP( APIF_Import!$C176, INDIRECT( "Lookup_" &amp; APIF_Import!$O176), VLOOKUP( APIF_Import!$O176 &amp; APIF_Import!$H$1,Podesavanja!$AA$3:$AD$28, 4, 0), 0))</f>
        <v/>
      </c>
      <c r="I176" s="230" t="str">
        <f ca="1">IF( ISNA( VLOOKUP( APIF_Import!$O176 &amp; APIF_Import!$I$1,Podesavanja!$AA$3:$AD$28, 4, 0)), "", VLOOKUP( APIF_Import!$C176, INDIRECT( "Lookup_" &amp; APIF_Import!$M176:$O176), VLOOKUP( APIF_Import!$O176 &amp; APIF_Import!$I$1,Podesavanja!$AA$3:$AD$28, 4, 0), 0))</f>
        <v/>
      </c>
      <c r="J176" s="230" t="str">
        <f ca="1">IF( ISNA( VLOOKUP( APIF_Import!$O176 &amp; APIF_Import!$J$1,Podesavanja!$AA$3:$AD$28, 4, 0)), "", VLOOKUP( APIF_Import!$C176, INDIRECT( "Lookup_" &amp; APIF_Import!$M176:$O176), VLOOKUP( APIF_Import!$O176 &amp; APIF_Import!$J$1,Podesavanja!$AA$3:$AD$28, 4, 0), 0))</f>
        <v/>
      </c>
      <c r="K176" s="230" t="str">
        <f ca="1">IF( ISNA( VLOOKUP( APIF_Import!$O176 &amp; APIF_Import!$K$1,Podesavanja!$AA$3:$AD$28, 4, 0)), "", VLOOKUP( APIF_Import!$C176, INDIRECT( "Lookup_" &amp; APIF_Import!$M176:$O176), VLOOKUP( APIF_Import!$O176 &amp; APIF_Import!$K$1,Podesavanja!$AA$3:$AD$28, 4, 0), 0))</f>
        <v/>
      </c>
      <c r="L176" s="230" t="str">
        <f ca="1">IF( ISNA( VLOOKUP( APIF_Import!$O176 &amp; APIF_Import!$L$1,Podesavanja!$AA$3:$AD$28, 4, 0)), "", VLOOKUP( APIF_Import!$C176, INDIRECT( "Lookup_" &amp; APIF_Import!$M176:$O176), VLOOKUP( APIF_Import!$O176 &amp; APIF_Import!$L$1,Podesavanja!$AA$3:$AD$28, 4, 0), 0))</f>
        <v/>
      </c>
      <c r="M176" s="230" t="str">
        <f ca="1">IF( ISNA( VLOOKUP( APIF_Import!$O176 &amp; APIF_Import!$M$1,Podesavanja!$AA$3:$AD$28, 4, 0)), "", VLOOKUP( APIF_Import!$C176, INDIRECT( "Lookup_" &amp; APIF_Import!$M176:$O176), VLOOKUP( APIF_Import!$O176 &amp; APIF_Import!$M$1,Podesavanja!$AA$3:$AD$28, 4, 0), 0))</f>
        <v/>
      </c>
      <c r="N176" s="8">
        <v>175</v>
      </c>
      <c r="O176" s="230" t="s">
        <v>2377</v>
      </c>
    </row>
    <row r="177" spans="2:15">
      <c r="B177" s="44">
        <f ca="1">VLOOKUP( APIF_Import!$O177, Podesavanja!$N$3:$Q$9, 4, 0)</f>
        <v>3</v>
      </c>
      <c r="C177" s="229">
        <f ca="1">VLOOKUP( APIF_Import!$N177, Aop!$A$2:$P$456, 4, 0)</f>
        <v>238</v>
      </c>
      <c r="D177" s="230" t="str">
        <f ca="1">IF( ISNA( VLOOKUP( APIF_Import!$O177 &amp; APIF_Import!$D$1,Podesavanja!$AA$3:$AD$28, 4, 0)), "", SUBSTITUTE( VALUE( VLOOKUP( APIF_Import!$C177, INDIRECT( "Lookup_" &amp; APIF_Import!$O177), VLOOKUP( APIF_Import!$O177 &amp; APIF_Import!$D$1,Podesavanja!$AA$3:$AD$28, 4, 0), 0)), ".", ","))</f>
        <v>0</v>
      </c>
      <c r="E177" s="230">
        <f ca="1">IF( ISNA( VLOOKUP( APIF_Import!$O177 &amp; APIF_Import!$E$1,Podesavanja!$AA$3:$AD$28, 4, 0)), "", VLOOKUP( APIF_Import!$C177, INDIRECT( "Lookup_" &amp; APIF_Import!$O177), VLOOKUP( APIF_Import!$O177 &amp; APIF_Import!$E$1,Podesavanja!$AA$3:$AD$28, 4, 0), 0))</f>
        <v>480144</v>
      </c>
      <c r="F177" s="230" t="str">
        <f ca="1">IF( ISNA( VLOOKUP( APIF_Import!$O177 &amp; APIF_Import!$F$1,Podesavanja!$AA$3:$AD$28, 4, 0)), "", VLOOKUP( APIF_Import!$C177, INDIRECT( "Lookup_" &amp; APIF_Import!$O177), VLOOKUP( APIF_Import!$O177 &amp; APIF_Import!$F$1,Podesavanja!$AA$3:$AD$28, 4, 0), 0))</f>
        <v/>
      </c>
      <c r="G177" s="230" t="str">
        <f ca="1">IF( ISNA( VLOOKUP( APIF_Import!$O177 &amp; APIF_Import!$G$1,Podesavanja!$AA$3:$AD$28, 4, 0)), "", VLOOKUP( APIF_Import!$C177, INDIRECT( "Lookup_" &amp; APIF_Import!$O177), VLOOKUP( APIF_Import!$O177 &amp; APIF_Import!$G$1,Podesavanja!$AA$3:$AD$28, 4, 0), 0))</f>
        <v/>
      </c>
      <c r="H177" s="230" t="str">
        <f ca="1">IF( ISNA( VLOOKUP( APIF_Import!$O177 &amp; APIF_Import!$H$1,Podesavanja!$AA$3:$AD$28, 4, 0)), "", VLOOKUP( APIF_Import!$C177, INDIRECT( "Lookup_" &amp; APIF_Import!$O177), VLOOKUP( APIF_Import!$O177 &amp; APIF_Import!$H$1,Podesavanja!$AA$3:$AD$28, 4, 0), 0))</f>
        <v/>
      </c>
      <c r="I177" s="230" t="str">
        <f ca="1">IF( ISNA( VLOOKUP( APIF_Import!$O177 &amp; APIF_Import!$I$1,Podesavanja!$AA$3:$AD$28, 4, 0)), "", VLOOKUP( APIF_Import!$C177, INDIRECT( "Lookup_" &amp; APIF_Import!$M177:$O177), VLOOKUP( APIF_Import!$O177 &amp; APIF_Import!$I$1,Podesavanja!$AA$3:$AD$28, 4, 0), 0))</f>
        <v/>
      </c>
      <c r="J177" s="230" t="str">
        <f ca="1">IF( ISNA( VLOOKUP( APIF_Import!$O177 &amp; APIF_Import!$J$1,Podesavanja!$AA$3:$AD$28, 4, 0)), "", VLOOKUP( APIF_Import!$C177, INDIRECT( "Lookup_" &amp; APIF_Import!$M177:$O177), VLOOKUP( APIF_Import!$O177 &amp; APIF_Import!$J$1,Podesavanja!$AA$3:$AD$28, 4, 0), 0))</f>
        <v/>
      </c>
      <c r="K177" s="230" t="str">
        <f ca="1">IF( ISNA( VLOOKUP( APIF_Import!$O177 &amp; APIF_Import!$K$1,Podesavanja!$AA$3:$AD$28, 4, 0)), "", VLOOKUP( APIF_Import!$C177, INDIRECT( "Lookup_" &amp; APIF_Import!$M177:$O177), VLOOKUP( APIF_Import!$O177 &amp; APIF_Import!$K$1,Podesavanja!$AA$3:$AD$28, 4, 0), 0))</f>
        <v/>
      </c>
      <c r="L177" s="230" t="str">
        <f ca="1">IF( ISNA( VLOOKUP( APIF_Import!$O177 &amp; APIF_Import!$L$1,Podesavanja!$AA$3:$AD$28, 4, 0)), "", VLOOKUP( APIF_Import!$C177, INDIRECT( "Lookup_" &amp; APIF_Import!$M177:$O177), VLOOKUP( APIF_Import!$O177 &amp; APIF_Import!$L$1,Podesavanja!$AA$3:$AD$28, 4, 0), 0))</f>
        <v/>
      </c>
      <c r="M177" s="230" t="str">
        <f ca="1">IF( ISNA( VLOOKUP( APIF_Import!$O177 &amp; APIF_Import!$M$1,Podesavanja!$AA$3:$AD$28, 4, 0)), "", VLOOKUP( APIF_Import!$C177, INDIRECT( "Lookup_" &amp; APIF_Import!$M177:$O177), VLOOKUP( APIF_Import!$O177 &amp; APIF_Import!$M$1,Podesavanja!$AA$3:$AD$28, 4, 0), 0))</f>
        <v/>
      </c>
      <c r="N177" s="8">
        <v>176</v>
      </c>
      <c r="O177" s="230" t="s">
        <v>2377</v>
      </c>
    </row>
    <row r="178" spans="2:15">
      <c r="B178" s="44">
        <f ca="1">VLOOKUP( APIF_Import!$O178, Podesavanja!$N$3:$Q$9, 4, 0)</f>
        <v>3</v>
      </c>
      <c r="C178" s="229">
        <f ca="1">VLOOKUP( APIF_Import!$N178, Aop!$A$2:$P$456, 4, 0)</f>
        <v>239</v>
      </c>
      <c r="D178" s="230" t="str">
        <f ca="1">IF( ISNA( VLOOKUP( APIF_Import!$O178 &amp; APIF_Import!$D$1,Podesavanja!$AA$3:$AD$28, 4, 0)), "", SUBSTITUTE( VALUE( VLOOKUP( APIF_Import!$C178, INDIRECT( "Lookup_" &amp; APIF_Import!$O178), VLOOKUP( APIF_Import!$O178 &amp; APIF_Import!$D$1,Podesavanja!$AA$3:$AD$28, 4, 0), 0)), ".", ","))</f>
        <v>4464</v>
      </c>
      <c r="E178" s="230">
        <f ca="1">IF( ISNA( VLOOKUP( APIF_Import!$O178 &amp; APIF_Import!$E$1,Podesavanja!$AA$3:$AD$28, 4, 0)), "", VLOOKUP( APIF_Import!$C178, INDIRECT( "Lookup_" &amp; APIF_Import!$O178), VLOOKUP( APIF_Import!$O178 &amp; APIF_Import!$E$1,Podesavanja!$AA$3:$AD$28, 4, 0), 0))</f>
        <v>537298</v>
      </c>
      <c r="F178" s="230" t="str">
        <f ca="1">IF( ISNA( VLOOKUP( APIF_Import!$O178 &amp; APIF_Import!$F$1,Podesavanja!$AA$3:$AD$28, 4, 0)), "", VLOOKUP( APIF_Import!$C178, INDIRECT( "Lookup_" &amp; APIF_Import!$O178), VLOOKUP( APIF_Import!$O178 &amp; APIF_Import!$F$1,Podesavanja!$AA$3:$AD$28, 4, 0), 0))</f>
        <v/>
      </c>
      <c r="G178" s="230" t="str">
        <f ca="1">IF( ISNA( VLOOKUP( APIF_Import!$O178 &amp; APIF_Import!$G$1,Podesavanja!$AA$3:$AD$28, 4, 0)), "", VLOOKUP( APIF_Import!$C178, INDIRECT( "Lookup_" &amp; APIF_Import!$O178), VLOOKUP( APIF_Import!$O178 &amp; APIF_Import!$G$1,Podesavanja!$AA$3:$AD$28, 4, 0), 0))</f>
        <v/>
      </c>
      <c r="H178" s="230" t="str">
        <f ca="1">IF( ISNA( VLOOKUP( APIF_Import!$O178 &amp; APIF_Import!$H$1,Podesavanja!$AA$3:$AD$28, 4, 0)), "", VLOOKUP( APIF_Import!$C178, INDIRECT( "Lookup_" &amp; APIF_Import!$O178), VLOOKUP( APIF_Import!$O178 &amp; APIF_Import!$H$1,Podesavanja!$AA$3:$AD$28, 4, 0), 0))</f>
        <v/>
      </c>
      <c r="I178" s="230" t="str">
        <f ca="1">IF( ISNA( VLOOKUP( APIF_Import!$O178 &amp; APIF_Import!$I$1,Podesavanja!$AA$3:$AD$28, 4, 0)), "", VLOOKUP( APIF_Import!$C178, INDIRECT( "Lookup_" &amp; APIF_Import!$M178:$O178), VLOOKUP( APIF_Import!$O178 &amp; APIF_Import!$I$1,Podesavanja!$AA$3:$AD$28, 4, 0), 0))</f>
        <v/>
      </c>
      <c r="J178" s="230" t="str">
        <f ca="1">IF( ISNA( VLOOKUP( APIF_Import!$O178 &amp; APIF_Import!$J$1,Podesavanja!$AA$3:$AD$28, 4, 0)), "", VLOOKUP( APIF_Import!$C178, INDIRECT( "Lookup_" &amp; APIF_Import!$M178:$O178), VLOOKUP( APIF_Import!$O178 &amp; APIF_Import!$J$1,Podesavanja!$AA$3:$AD$28, 4, 0), 0))</f>
        <v/>
      </c>
      <c r="K178" s="230" t="str">
        <f ca="1">IF( ISNA( VLOOKUP( APIF_Import!$O178 &amp; APIF_Import!$K$1,Podesavanja!$AA$3:$AD$28, 4, 0)), "", VLOOKUP( APIF_Import!$C178, INDIRECT( "Lookup_" &amp; APIF_Import!$M178:$O178), VLOOKUP( APIF_Import!$O178 &amp; APIF_Import!$K$1,Podesavanja!$AA$3:$AD$28, 4, 0), 0))</f>
        <v/>
      </c>
      <c r="L178" s="230" t="str">
        <f ca="1">IF( ISNA( VLOOKUP( APIF_Import!$O178 &amp; APIF_Import!$L$1,Podesavanja!$AA$3:$AD$28, 4, 0)), "", VLOOKUP( APIF_Import!$C178, INDIRECT( "Lookup_" &amp; APIF_Import!$M178:$O178), VLOOKUP( APIF_Import!$O178 &amp; APIF_Import!$L$1,Podesavanja!$AA$3:$AD$28, 4, 0), 0))</f>
        <v/>
      </c>
      <c r="M178" s="230" t="str">
        <f ca="1">IF( ISNA( VLOOKUP( APIF_Import!$O178 &amp; APIF_Import!$M$1,Podesavanja!$AA$3:$AD$28, 4, 0)), "", VLOOKUP( APIF_Import!$C178, INDIRECT( "Lookup_" &amp; APIF_Import!$M178:$O178), VLOOKUP( APIF_Import!$O178 &amp; APIF_Import!$M$1,Podesavanja!$AA$3:$AD$28, 4, 0), 0))</f>
        <v/>
      </c>
      <c r="N178" s="8">
        <v>177</v>
      </c>
      <c r="O178" s="230" t="s">
        <v>2377</v>
      </c>
    </row>
    <row r="179" spans="2:15">
      <c r="B179" s="44">
        <f ca="1">VLOOKUP( APIF_Import!$O179, Podesavanja!$N$3:$Q$9, 4, 0)</f>
        <v>3</v>
      </c>
      <c r="C179" s="229">
        <f ca="1">VLOOKUP( APIF_Import!$N179, Aop!$A$2:$P$456, 4, 0)</f>
        <v>240</v>
      </c>
      <c r="D179" s="230" t="str">
        <f ca="1">IF( ISNA( VLOOKUP( APIF_Import!$O179 &amp; APIF_Import!$D$1,Podesavanja!$AA$3:$AD$28, 4, 0)), "", SUBSTITUTE( VALUE( VLOOKUP( APIF_Import!$C179, INDIRECT( "Lookup_" &amp; APIF_Import!$O179), VLOOKUP( APIF_Import!$O179 &amp; APIF_Import!$D$1,Podesavanja!$AA$3:$AD$28, 4, 0), 0)), ".", ","))</f>
        <v>0</v>
      </c>
      <c r="E179" s="230">
        <f ca="1">IF( ISNA( VLOOKUP( APIF_Import!$O179 &amp; APIF_Import!$E$1,Podesavanja!$AA$3:$AD$28, 4, 0)), "", VLOOKUP( APIF_Import!$C179, INDIRECT( "Lookup_" &amp; APIF_Import!$O179), VLOOKUP( APIF_Import!$O179 &amp; APIF_Import!$E$1,Podesavanja!$AA$3:$AD$28, 4, 0), 0))</f>
        <v>117</v>
      </c>
      <c r="F179" s="230" t="str">
        <f ca="1">IF( ISNA( VLOOKUP( APIF_Import!$O179 &amp; APIF_Import!$F$1,Podesavanja!$AA$3:$AD$28, 4, 0)), "", VLOOKUP( APIF_Import!$C179, INDIRECT( "Lookup_" &amp; APIF_Import!$O179), VLOOKUP( APIF_Import!$O179 &amp; APIF_Import!$F$1,Podesavanja!$AA$3:$AD$28, 4, 0), 0))</f>
        <v/>
      </c>
      <c r="G179" s="230" t="str">
        <f ca="1">IF( ISNA( VLOOKUP( APIF_Import!$O179 &amp; APIF_Import!$G$1,Podesavanja!$AA$3:$AD$28, 4, 0)), "", VLOOKUP( APIF_Import!$C179, INDIRECT( "Lookup_" &amp; APIF_Import!$O179), VLOOKUP( APIF_Import!$O179 &amp; APIF_Import!$G$1,Podesavanja!$AA$3:$AD$28, 4, 0), 0))</f>
        <v/>
      </c>
      <c r="H179" s="230" t="str">
        <f ca="1">IF( ISNA( VLOOKUP( APIF_Import!$O179 &amp; APIF_Import!$H$1,Podesavanja!$AA$3:$AD$28, 4, 0)), "", VLOOKUP( APIF_Import!$C179, INDIRECT( "Lookup_" &amp; APIF_Import!$O179), VLOOKUP( APIF_Import!$O179 &amp; APIF_Import!$H$1,Podesavanja!$AA$3:$AD$28, 4, 0), 0))</f>
        <v/>
      </c>
      <c r="I179" s="230" t="str">
        <f ca="1">IF( ISNA( VLOOKUP( APIF_Import!$O179 &amp; APIF_Import!$I$1,Podesavanja!$AA$3:$AD$28, 4, 0)), "", VLOOKUP( APIF_Import!$C179, INDIRECT( "Lookup_" &amp; APIF_Import!$M179:$O179), VLOOKUP( APIF_Import!$O179 &amp; APIF_Import!$I$1,Podesavanja!$AA$3:$AD$28, 4, 0), 0))</f>
        <v/>
      </c>
      <c r="J179" s="230" t="str">
        <f ca="1">IF( ISNA( VLOOKUP( APIF_Import!$O179 &amp; APIF_Import!$J$1,Podesavanja!$AA$3:$AD$28, 4, 0)), "", VLOOKUP( APIF_Import!$C179, INDIRECT( "Lookup_" &amp; APIF_Import!$M179:$O179), VLOOKUP( APIF_Import!$O179 &amp; APIF_Import!$J$1,Podesavanja!$AA$3:$AD$28, 4, 0), 0))</f>
        <v/>
      </c>
      <c r="K179" s="230" t="str">
        <f ca="1">IF( ISNA( VLOOKUP( APIF_Import!$O179 &amp; APIF_Import!$K$1,Podesavanja!$AA$3:$AD$28, 4, 0)), "", VLOOKUP( APIF_Import!$C179, INDIRECT( "Lookup_" &amp; APIF_Import!$M179:$O179), VLOOKUP( APIF_Import!$O179 &amp; APIF_Import!$K$1,Podesavanja!$AA$3:$AD$28, 4, 0), 0))</f>
        <v/>
      </c>
      <c r="L179" s="230" t="str">
        <f ca="1">IF( ISNA( VLOOKUP( APIF_Import!$O179 &amp; APIF_Import!$L$1,Podesavanja!$AA$3:$AD$28, 4, 0)), "", VLOOKUP( APIF_Import!$C179, INDIRECT( "Lookup_" &amp; APIF_Import!$M179:$O179), VLOOKUP( APIF_Import!$O179 &amp; APIF_Import!$L$1,Podesavanja!$AA$3:$AD$28, 4, 0), 0))</f>
        <v/>
      </c>
      <c r="M179" s="230" t="str">
        <f ca="1">IF( ISNA( VLOOKUP( APIF_Import!$O179 &amp; APIF_Import!$M$1,Podesavanja!$AA$3:$AD$28, 4, 0)), "", VLOOKUP( APIF_Import!$C179, INDIRECT( "Lookup_" &amp; APIF_Import!$M179:$O179), VLOOKUP( APIF_Import!$O179 &amp; APIF_Import!$M$1,Podesavanja!$AA$3:$AD$28, 4, 0), 0))</f>
        <v/>
      </c>
      <c r="N179" s="8">
        <v>178</v>
      </c>
      <c r="O179" s="230" t="s">
        <v>2377</v>
      </c>
    </row>
    <row r="180" spans="2:15">
      <c r="B180" s="44">
        <f ca="1">VLOOKUP( APIF_Import!$O180, Podesavanja!$N$3:$Q$9, 4, 0)</f>
        <v>3</v>
      </c>
      <c r="C180" s="229">
        <f ca="1">VLOOKUP( APIF_Import!$N180, Aop!$A$2:$P$456, 4, 0)</f>
        <v>241</v>
      </c>
      <c r="D180" s="230" t="str">
        <f ca="1">IF( ISNA( VLOOKUP( APIF_Import!$O180 &amp; APIF_Import!$D$1,Podesavanja!$AA$3:$AD$28, 4, 0)), "", SUBSTITUTE( VALUE( VLOOKUP( APIF_Import!$C180, INDIRECT( "Lookup_" &amp; APIF_Import!$O180), VLOOKUP( APIF_Import!$O180 &amp; APIF_Import!$D$1,Podesavanja!$AA$3:$AD$28, 4, 0), 0)), ".", ","))</f>
        <v>0</v>
      </c>
      <c r="E180" s="230">
        <f ca="1">IF( ISNA( VLOOKUP( APIF_Import!$O180 &amp; APIF_Import!$E$1,Podesavanja!$AA$3:$AD$28, 4, 0)), "", VLOOKUP( APIF_Import!$C180, INDIRECT( "Lookup_" &amp; APIF_Import!$O180), VLOOKUP( APIF_Import!$O180 &amp; APIF_Import!$E$1,Podesavanja!$AA$3:$AD$28, 4, 0), 0))</f>
        <v>203</v>
      </c>
      <c r="F180" s="230" t="str">
        <f ca="1">IF( ISNA( VLOOKUP( APIF_Import!$O180 &amp; APIF_Import!$F$1,Podesavanja!$AA$3:$AD$28, 4, 0)), "", VLOOKUP( APIF_Import!$C180, INDIRECT( "Lookup_" &amp; APIF_Import!$O180), VLOOKUP( APIF_Import!$O180 &amp; APIF_Import!$F$1,Podesavanja!$AA$3:$AD$28, 4, 0), 0))</f>
        <v/>
      </c>
      <c r="G180" s="230" t="str">
        <f ca="1">IF( ISNA( VLOOKUP( APIF_Import!$O180 &amp; APIF_Import!$G$1,Podesavanja!$AA$3:$AD$28, 4, 0)), "", VLOOKUP( APIF_Import!$C180, INDIRECT( "Lookup_" &amp; APIF_Import!$O180), VLOOKUP( APIF_Import!$O180 &amp; APIF_Import!$G$1,Podesavanja!$AA$3:$AD$28, 4, 0), 0))</f>
        <v/>
      </c>
      <c r="H180" s="230" t="str">
        <f ca="1">IF( ISNA( VLOOKUP( APIF_Import!$O180 &amp; APIF_Import!$H$1,Podesavanja!$AA$3:$AD$28, 4, 0)), "", VLOOKUP( APIF_Import!$C180, INDIRECT( "Lookup_" &amp; APIF_Import!$O180), VLOOKUP( APIF_Import!$O180 &amp; APIF_Import!$H$1,Podesavanja!$AA$3:$AD$28, 4, 0), 0))</f>
        <v/>
      </c>
      <c r="I180" s="230" t="str">
        <f ca="1">IF( ISNA( VLOOKUP( APIF_Import!$O180 &amp; APIF_Import!$I$1,Podesavanja!$AA$3:$AD$28, 4, 0)), "", VLOOKUP( APIF_Import!$C180, INDIRECT( "Lookup_" &amp; APIF_Import!$M180:$O180), VLOOKUP( APIF_Import!$O180 &amp; APIF_Import!$I$1,Podesavanja!$AA$3:$AD$28, 4, 0), 0))</f>
        <v/>
      </c>
      <c r="J180" s="230" t="str">
        <f ca="1">IF( ISNA( VLOOKUP( APIF_Import!$O180 &amp; APIF_Import!$J$1,Podesavanja!$AA$3:$AD$28, 4, 0)), "", VLOOKUP( APIF_Import!$C180, INDIRECT( "Lookup_" &amp; APIF_Import!$M180:$O180), VLOOKUP( APIF_Import!$O180 &amp; APIF_Import!$J$1,Podesavanja!$AA$3:$AD$28, 4, 0), 0))</f>
        <v/>
      </c>
      <c r="K180" s="230" t="str">
        <f ca="1">IF( ISNA( VLOOKUP( APIF_Import!$O180 &amp; APIF_Import!$K$1,Podesavanja!$AA$3:$AD$28, 4, 0)), "", VLOOKUP( APIF_Import!$C180, INDIRECT( "Lookup_" &amp; APIF_Import!$M180:$O180), VLOOKUP( APIF_Import!$O180 &amp; APIF_Import!$K$1,Podesavanja!$AA$3:$AD$28, 4, 0), 0))</f>
        <v/>
      </c>
      <c r="L180" s="230" t="str">
        <f ca="1">IF( ISNA( VLOOKUP( APIF_Import!$O180 &amp; APIF_Import!$L$1,Podesavanja!$AA$3:$AD$28, 4, 0)), "", VLOOKUP( APIF_Import!$C180, INDIRECT( "Lookup_" &amp; APIF_Import!$M180:$O180), VLOOKUP( APIF_Import!$O180 &amp; APIF_Import!$L$1,Podesavanja!$AA$3:$AD$28, 4, 0), 0))</f>
        <v/>
      </c>
      <c r="M180" s="230" t="str">
        <f ca="1">IF( ISNA( VLOOKUP( APIF_Import!$O180 &amp; APIF_Import!$M$1,Podesavanja!$AA$3:$AD$28, 4, 0)), "", VLOOKUP( APIF_Import!$C180, INDIRECT( "Lookup_" &amp; APIF_Import!$M180:$O180), VLOOKUP( APIF_Import!$O180 &amp; APIF_Import!$M$1,Podesavanja!$AA$3:$AD$28, 4, 0), 0))</f>
        <v/>
      </c>
      <c r="N180" s="8">
        <v>179</v>
      </c>
      <c r="O180" s="230" t="s">
        <v>2377</v>
      </c>
    </row>
    <row r="181" spans="2:15">
      <c r="B181" s="44">
        <f ca="1">VLOOKUP( APIF_Import!$O181, Podesavanja!$N$3:$Q$9, 4, 0)</f>
        <v>3</v>
      </c>
      <c r="C181" s="229">
        <f ca="1">VLOOKUP( APIF_Import!$N181, Aop!$A$2:$P$456, 4, 0)</f>
        <v>242</v>
      </c>
      <c r="D181" s="230" t="str">
        <f ca="1">IF( ISNA( VLOOKUP( APIF_Import!$O181 &amp; APIF_Import!$D$1,Podesavanja!$AA$3:$AD$28, 4, 0)), "", SUBSTITUTE( VALUE( VLOOKUP( APIF_Import!$C181, INDIRECT( "Lookup_" &amp; APIF_Import!$O181), VLOOKUP( APIF_Import!$O181 &amp; APIF_Import!$D$1,Podesavanja!$AA$3:$AD$28, 4, 0), 0)), ".", ","))</f>
        <v>0</v>
      </c>
      <c r="E181" s="230">
        <f ca="1">IF( ISNA( VLOOKUP( APIF_Import!$O181 &amp; APIF_Import!$E$1,Podesavanja!$AA$3:$AD$28, 4, 0)), "", VLOOKUP( APIF_Import!$C181, INDIRECT( "Lookup_" &amp; APIF_Import!$O181), VLOOKUP( APIF_Import!$O181 &amp; APIF_Import!$E$1,Podesavanja!$AA$3:$AD$28, 4, 0), 0))</f>
        <v>0</v>
      </c>
      <c r="F181" s="230" t="str">
        <f ca="1">IF( ISNA( VLOOKUP( APIF_Import!$O181 &amp; APIF_Import!$F$1,Podesavanja!$AA$3:$AD$28, 4, 0)), "", VLOOKUP( APIF_Import!$C181, INDIRECT( "Lookup_" &amp; APIF_Import!$O181), VLOOKUP( APIF_Import!$O181 &amp; APIF_Import!$F$1,Podesavanja!$AA$3:$AD$28, 4, 0), 0))</f>
        <v/>
      </c>
      <c r="G181" s="230" t="str">
        <f ca="1">IF( ISNA( VLOOKUP( APIF_Import!$O181 &amp; APIF_Import!$G$1,Podesavanja!$AA$3:$AD$28, 4, 0)), "", VLOOKUP( APIF_Import!$C181, INDIRECT( "Lookup_" &amp; APIF_Import!$O181), VLOOKUP( APIF_Import!$O181 &amp; APIF_Import!$G$1,Podesavanja!$AA$3:$AD$28, 4, 0), 0))</f>
        <v/>
      </c>
      <c r="H181" s="230" t="str">
        <f ca="1">IF( ISNA( VLOOKUP( APIF_Import!$O181 &amp; APIF_Import!$H$1,Podesavanja!$AA$3:$AD$28, 4, 0)), "", VLOOKUP( APIF_Import!$C181, INDIRECT( "Lookup_" &amp; APIF_Import!$O181), VLOOKUP( APIF_Import!$O181 &amp; APIF_Import!$H$1,Podesavanja!$AA$3:$AD$28, 4, 0), 0))</f>
        <v/>
      </c>
      <c r="I181" s="230" t="str">
        <f ca="1">IF( ISNA( VLOOKUP( APIF_Import!$O181 &amp; APIF_Import!$I$1,Podesavanja!$AA$3:$AD$28, 4, 0)), "", VLOOKUP( APIF_Import!$C181, INDIRECT( "Lookup_" &amp; APIF_Import!$M181:$O181), VLOOKUP( APIF_Import!$O181 &amp; APIF_Import!$I$1,Podesavanja!$AA$3:$AD$28, 4, 0), 0))</f>
        <v/>
      </c>
      <c r="J181" s="230" t="str">
        <f ca="1">IF( ISNA( VLOOKUP( APIF_Import!$O181 &amp; APIF_Import!$J$1,Podesavanja!$AA$3:$AD$28, 4, 0)), "", VLOOKUP( APIF_Import!$C181, INDIRECT( "Lookup_" &amp; APIF_Import!$M181:$O181), VLOOKUP( APIF_Import!$O181 &amp; APIF_Import!$J$1,Podesavanja!$AA$3:$AD$28, 4, 0), 0))</f>
        <v/>
      </c>
      <c r="K181" s="230" t="str">
        <f ca="1">IF( ISNA( VLOOKUP( APIF_Import!$O181 &amp; APIF_Import!$K$1,Podesavanja!$AA$3:$AD$28, 4, 0)), "", VLOOKUP( APIF_Import!$C181, INDIRECT( "Lookup_" &amp; APIF_Import!$M181:$O181), VLOOKUP( APIF_Import!$O181 &amp; APIF_Import!$K$1,Podesavanja!$AA$3:$AD$28, 4, 0), 0))</f>
        <v/>
      </c>
      <c r="L181" s="230" t="str">
        <f ca="1">IF( ISNA( VLOOKUP( APIF_Import!$O181 &amp; APIF_Import!$L$1,Podesavanja!$AA$3:$AD$28, 4, 0)), "", VLOOKUP( APIF_Import!$C181, INDIRECT( "Lookup_" &amp; APIF_Import!$M181:$O181), VLOOKUP( APIF_Import!$O181 &amp; APIF_Import!$L$1,Podesavanja!$AA$3:$AD$28, 4, 0), 0))</f>
        <v/>
      </c>
      <c r="M181" s="230" t="str">
        <f ca="1">IF( ISNA( VLOOKUP( APIF_Import!$O181 &amp; APIF_Import!$M$1,Podesavanja!$AA$3:$AD$28, 4, 0)), "", VLOOKUP( APIF_Import!$C181, INDIRECT( "Lookup_" &amp; APIF_Import!$M181:$O181), VLOOKUP( APIF_Import!$O181 &amp; APIF_Import!$M$1,Podesavanja!$AA$3:$AD$28, 4, 0), 0))</f>
        <v/>
      </c>
      <c r="N181" s="8">
        <v>180</v>
      </c>
      <c r="O181" s="230" t="s">
        <v>2377</v>
      </c>
    </row>
    <row r="182" spans="2:15">
      <c r="B182" s="44">
        <f ca="1">VLOOKUP( APIF_Import!$O182, Podesavanja!$N$3:$Q$9, 4, 0)</f>
        <v>3</v>
      </c>
      <c r="C182" s="229">
        <f ca="1">VLOOKUP( APIF_Import!$N182, Aop!$A$2:$P$456, 4, 0)</f>
        <v>243</v>
      </c>
      <c r="D182" s="230" t="str">
        <f ca="1">IF( ISNA( VLOOKUP( APIF_Import!$O182 &amp; APIF_Import!$D$1,Podesavanja!$AA$3:$AD$28, 4, 0)), "", SUBSTITUTE( VALUE( VLOOKUP( APIF_Import!$C182, INDIRECT( "Lookup_" &amp; APIF_Import!$O182), VLOOKUP( APIF_Import!$O182 &amp; APIF_Import!$D$1,Podesavanja!$AA$3:$AD$28, 4, 0), 0)), ".", ","))</f>
        <v>4464</v>
      </c>
      <c r="E182" s="230">
        <f ca="1">IF( ISNA( VLOOKUP( APIF_Import!$O182 &amp; APIF_Import!$E$1,Podesavanja!$AA$3:$AD$28, 4, 0)), "", VLOOKUP( APIF_Import!$C182, INDIRECT( "Lookup_" &amp; APIF_Import!$O182), VLOOKUP( APIF_Import!$O182 &amp; APIF_Import!$E$1,Podesavanja!$AA$3:$AD$28, 4, 0), 0))</f>
        <v>536978</v>
      </c>
      <c r="F182" s="230" t="str">
        <f ca="1">IF( ISNA( VLOOKUP( APIF_Import!$O182 &amp; APIF_Import!$F$1,Podesavanja!$AA$3:$AD$28, 4, 0)), "", VLOOKUP( APIF_Import!$C182, INDIRECT( "Lookup_" &amp; APIF_Import!$O182), VLOOKUP( APIF_Import!$O182 &amp; APIF_Import!$F$1,Podesavanja!$AA$3:$AD$28, 4, 0), 0))</f>
        <v/>
      </c>
      <c r="G182" s="230" t="str">
        <f ca="1">IF( ISNA( VLOOKUP( APIF_Import!$O182 &amp; APIF_Import!$G$1,Podesavanja!$AA$3:$AD$28, 4, 0)), "", VLOOKUP( APIF_Import!$C182, INDIRECT( "Lookup_" &amp; APIF_Import!$O182), VLOOKUP( APIF_Import!$O182 &amp; APIF_Import!$G$1,Podesavanja!$AA$3:$AD$28, 4, 0), 0))</f>
        <v/>
      </c>
      <c r="H182" s="230" t="str">
        <f ca="1">IF( ISNA( VLOOKUP( APIF_Import!$O182 &amp; APIF_Import!$H$1,Podesavanja!$AA$3:$AD$28, 4, 0)), "", VLOOKUP( APIF_Import!$C182, INDIRECT( "Lookup_" &amp; APIF_Import!$O182), VLOOKUP( APIF_Import!$O182 &amp; APIF_Import!$H$1,Podesavanja!$AA$3:$AD$28, 4, 0), 0))</f>
        <v/>
      </c>
      <c r="I182" s="230" t="str">
        <f ca="1">IF( ISNA( VLOOKUP( APIF_Import!$O182 &amp; APIF_Import!$I$1,Podesavanja!$AA$3:$AD$28, 4, 0)), "", VLOOKUP( APIF_Import!$C182, INDIRECT( "Lookup_" &amp; APIF_Import!$M182:$O182), VLOOKUP( APIF_Import!$O182 &amp; APIF_Import!$I$1,Podesavanja!$AA$3:$AD$28, 4, 0), 0))</f>
        <v/>
      </c>
      <c r="J182" s="230" t="str">
        <f ca="1">IF( ISNA( VLOOKUP( APIF_Import!$O182 &amp; APIF_Import!$J$1,Podesavanja!$AA$3:$AD$28, 4, 0)), "", VLOOKUP( APIF_Import!$C182, INDIRECT( "Lookup_" &amp; APIF_Import!$M182:$O182), VLOOKUP( APIF_Import!$O182 &amp; APIF_Import!$J$1,Podesavanja!$AA$3:$AD$28, 4, 0), 0))</f>
        <v/>
      </c>
      <c r="K182" s="230" t="str">
        <f ca="1">IF( ISNA( VLOOKUP( APIF_Import!$O182 &amp; APIF_Import!$K$1,Podesavanja!$AA$3:$AD$28, 4, 0)), "", VLOOKUP( APIF_Import!$C182, INDIRECT( "Lookup_" &amp; APIF_Import!$M182:$O182), VLOOKUP( APIF_Import!$O182 &amp; APIF_Import!$K$1,Podesavanja!$AA$3:$AD$28, 4, 0), 0))</f>
        <v/>
      </c>
      <c r="L182" s="230" t="str">
        <f ca="1">IF( ISNA( VLOOKUP( APIF_Import!$O182 &amp; APIF_Import!$L$1,Podesavanja!$AA$3:$AD$28, 4, 0)), "", VLOOKUP( APIF_Import!$C182, INDIRECT( "Lookup_" &amp; APIF_Import!$M182:$O182), VLOOKUP( APIF_Import!$O182 &amp; APIF_Import!$L$1,Podesavanja!$AA$3:$AD$28, 4, 0), 0))</f>
        <v/>
      </c>
      <c r="M182" s="230" t="str">
        <f ca="1">IF( ISNA( VLOOKUP( APIF_Import!$O182 &amp; APIF_Import!$M$1,Podesavanja!$AA$3:$AD$28, 4, 0)), "", VLOOKUP( APIF_Import!$C182, INDIRECT( "Lookup_" &amp; APIF_Import!$M182:$O182), VLOOKUP( APIF_Import!$O182 &amp; APIF_Import!$M$1,Podesavanja!$AA$3:$AD$28, 4, 0), 0))</f>
        <v/>
      </c>
      <c r="N182" s="8">
        <v>181</v>
      </c>
      <c r="O182" s="230" t="s">
        <v>2377</v>
      </c>
    </row>
    <row r="183" spans="2:15">
      <c r="B183" s="44">
        <f ca="1">VLOOKUP( APIF_Import!$O183, Podesavanja!$N$3:$Q$9, 4, 0)</f>
        <v>3</v>
      </c>
      <c r="C183" s="229">
        <f ca="1">VLOOKUP( APIF_Import!$N183, Aop!$A$2:$P$456, 4, 0)</f>
        <v>244</v>
      </c>
      <c r="D183" s="230" t="str">
        <f ca="1">IF( ISNA( VLOOKUP( APIF_Import!$O183 &amp; APIF_Import!$D$1,Podesavanja!$AA$3:$AD$28, 4, 0)), "", SUBSTITUTE( VALUE( VLOOKUP( APIF_Import!$C183, INDIRECT( "Lookup_" &amp; APIF_Import!$O183), VLOOKUP( APIF_Import!$O183 &amp; APIF_Import!$D$1,Podesavanja!$AA$3:$AD$28, 4, 0), 0)), ".", ","))</f>
        <v>474</v>
      </c>
      <c r="E183" s="230">
        <f ca="1">IF( ISNA( VLOOKUP( APIF_Import!$O183 &amp; APIF_Import!$E$1,Podesavanja!$AA$3:$AD$28, 4, 0)), "", VLOOKUP( APIF_Import!$C183, INDIRECT( "Lookup_" &amp; APIF_Import!$O183), VLOOKUP( APIF_Import!$O183 &amp; APIF_Import!$E$1,Podesavanja!$AA$3:$AD$28, 4, 0), 0))</f>
        <v>3540</v>
      </c>
      <c r="F183" s="230" t="str">
        <f ca="1">IF( ISNA( VLOOKUP( APIF_Import!$O183 &amp; APIF_Import!$F$1,Podesavanja!$AA$3:$AD$28, 4, 0)), "", VLOOKUP( APIF_Import!$C183, INDIRECT( "Lookup_" &amp; APIF_Import!$O183), VLOOKUP( APIF_Import!$O183 &amp; APIF_Import!$F$1,Podesavanja!$AA$3:$AD$28, 4, 0), 0))</f>
        <v/>
      </c>
      <c r="G183" s="230" t="str">
        <f ca="1">IF( ISNA( VLOOKUP( APIF_Import!$O183 &amp; APIF_Import!$G$1,Podesavanja!$AA$3:$AD$28, 4, 0)), "", VLOOKUP( APIF_Import!$C183, INDIRECT( "Lookup_" &amp; APIF_Import!$O183), VLOOKUP( APIF_Import!$O183 &amp; APIF_Import!$G$1,Podesavanja!$AA$3:$AD$28, 4, 0), 0))</f>
        <v/>
      </c>
      <c r="H183" s="230" t="str">
        <f ca="1">IF( ISNA( VLOOKUP( APIF_Import!$O183 &amp; APIF_Import!$H$1,Podesavanja!$AA$3:$AD$28, 4, 0)), "", VLOOKUP( APIF_Import!$C183, INDIRECT( "Lookup_" &amp; APIF_Import!$O183), VLOOKUP( APIF_Import!$O183 &amp; APIF_Import!$H$1,Podesavanja!$AA$3:$AD$28, 4, 0), 0))</f>
        <v/>
      </c>
      <c r="I183" s="230" t="str">
        <f ca="1">IF( ISNA( VLOOKUP( APIF_Import!$O183 &amp; APIF_Import!$I$1,Podesavanja!$AA$3:$AD$28, 4, 0)), "", VLOOKUP( APIF_Import!$C183, INDIRECT( "Lookup_" &amp; APIF_Import!$M183:$O183), VLOOKUP( APIF_Import!$O183 &amp; APIF_Import!$I$1,Podesavanja!$AA$3:$AD$28, 4, 0), 0))</f>
        <v/>
      </c>
      <c r="J183" s="230" t="str">
        <f ca="1">IF( ISNA( VLOOKUP( APIF_Import!$O183 &amp; APIF_Import!$J$1,Podesavanja!$AA$3:$AD$28, 4, 0)), "", VLOOKUP( APIF_Import!$C183, INDIRECT( "Lookup_" &amp; APIF_Import!$M183:$O183), VLOOKUP( APIF_Import!$O183 &amp; APIF_Import!$J$1,Podesavanja!$AA$3:$AD$28, 4, 0), 0))</f>
        <v/>
      </c>
      <c r="K183" s="230" t="str">
        <f ca="1">IF( ISNA( VLOOKUP( APIF_Import!$O183 &amp; APIF_Import!$K$1,Podesavanja!$AA$3:$AD$28, 4, 0)), "", VLOOKUP( APIF_Import!$C183, INDIRECT( "Lookup_" &amp; APIF_Import!$M183:$O183), VLOOKUP( APIF_Import!$O183 &amp; APIF_Import!$K$1,Podesavanja!$AA$3:$AD$28, 4, 0), 0))</f>
        <v/>
      </c>
      <c r="L183" s="230" t="str">
        <f ca="1">IF( ISNA( VLOOKUP( APIF_Import!$O183 &amp; APIF_Import!$L$1,Podesavanja!$AA$3:$AD$28, 4, 0)), "", VLOOKUP( APIF_Import!$C183, INDIRECT( "Lookup_" &amp; APIF_Import!$M183:$O183), VLOOKUP( APIF_Import!$O183 &amp; APIF_Import!$L$1,Podesavanja!$AA$3:$AD$28, 4, 0), 0))</f>
        <v/>
      </c>
      <c r="M183" s="230" t="str">
        <f ca="1">IF( ISNA( VLOOKUP( APIF_Import!$O183 &amp; APIF_Import!$M$1,Podesavanja!$AA$3:$AD$28, 4, 0)), "", VLOOKUP( APIF_Import!$C183, INDIRECT( "Lookup_" &amp; APIF_Import!$M183:$O183), VLOOKUP( APIF_Import!$O183 &amp; APIF_Import!$M$1,Podesavanja!$AA$3:$AD$28, 4, 0), 0))</f>
        <v/>
      </c>
      <c r="N183" s="8">
        <v>182</v>
      </c>
      <c r="O183" s="230" t="s">
        <v>2377</v>
      </c>
    </row>
    <row r="184" spans="2:15">
      <c r="B184" s="44">
        <f ca="1">VLOOKUP( APIF_Import!$O184, Podesavanja!$N$3:$Q$9, 4, 0)</f>
        <v>3</v>
      </c>
      <c r="C184" s="229">
        <f ca="1">VLOOKUP( APIF_Import!$N184, Aop!$A$2:$P$456, 4, 0)</f>
        <v>245</v>
      </c>
      <c r="D184" s="230" t="str">
        <f ca="1">IF( ISNA( VLOOKUP( APIF_Import!$O184 &amp; APIF_Import!$D$1,Podesavanja!$AA$3:$AD$28, 4, 0)), "", SUBSTITUTE( VALUE( VLOOKUP( APIF_Import!$C184, INDIRECT( "Lookup_" &amp; APIF_Import!$O184), VLOOKUP( APIF_Import!$O184 &amp; APIF_Import!$D$1,Podesavanja!$AA$3:$AD$28, 4, 0), 0)), ".", ","))</f>
        <v>0</v>
      </c>
      <c r="E184" s="230">
        <f ca="1">IF( ISNA( VLOOKUP( APIF_Import!$O184 &amp; APIF_Import!$E$1,Podesavanja!$AA$3:$AD$28, 4, 0)), "", VLOOKUP( APIF_Import!$C184, INDIRECT( "Lookup_" &amp; APIF_Import!$O184), VLOOKUP( APIF_Import!$O184 &amp; APIF_Import!$E$1,Podesavanja!$AA$3:$AD$28, 4, 0), 0))</f>
        <v>0</v>
      </c>
      <c r="F184" s="230" t="str">
        <f ca="1">IF( ISNA( VLOOKUP( APIF_Import!$O184 &amp; APIF_Import!$F$1,Podesavanja!$AA$3:$AD$28, 4, 0)), "", VLOOKUP( APIF_Import!$C184, INDIRECT( "Lookup_" &amp; APIF_Import!$O184), VLOOKUP( APIF_Import!$O184 &amp; APIF_Import!$F$1,Podesavanja!$AA$3:$AD$28, 4, 0), 0))</f>
        <v/>
      </c>
      <c r="G184" s="230" t="str">
        <f ca="1">IF( ISNA( VLOOKUP( APIF_Import!$O184 &amp; APIF_Import!$G$1,Podesavanja!$AA$3:$AD$28, 4, 0)), "", VLOOKUP( APIF_Import!$C184, INDIRECT( "Lookup_" &amp; APIF_Import!$O184), VLOOKUP( APIF_Import!$O184 &amp; APIF_Import!$G$1,Podesavanja!$AA$3:$AD$28, 4, 0), 0))</f>
        <v/>
      </c>
      <c r="H184" s="230" t="str">
        <f ca="1">IF( ISNA( VLOOKUP( APIF_Import!$O184 &amp; APIF_Import!$H$1,Podesavanja!$AA$3:$AD$28, 4, 0)), "", VLOOKUP( APIF_Import!$C184, INDIRECT( "Lookup_" &amp; APIF_Import!$O184), VLOOKUP( APIF_Import!$O184 &amp; APIF_Import!$H$1,Podesavanja!$AA$3:$AD$28, 4, 0), 0))</f>
        <v/>
      </c>
      <c r="I184" s="230" t="str">
        <f ca="1">IF( ISNA( VLOOKUP( APIF_Import!$O184 &amp; APIF_Import!$I$1,Podesavanja!$AA$3:$AD$28, 4, 0)), "", VLOOKUP( APIF_Import!$C184, INDIRECT( "Lookup_" &amp; APIF_Import!$M184:$O184), VLOOKUP( APIF_Import!$O184 &amp; APIF_Import!$I$1,Podesavanja!$AA$3:$AD$28, 4, 0), 0))</f>
        <v/>
      </c>
      <c r="J184" s="230" t="str">
        <f ca="1">IF( ISNA( VLOOKUP( APIF_Import!$O184 &amp; APIF_Import!$J$1,Podesavanja!$AA$3:$AD$28, 4, 0)), "", VLOOKUP( APIF_Import!$C184, INDIRECT( "Lookup_" &amp; APIF_Import!$M184:$O184), VLOOKUP( APIF_Import!$O184 &amp; APIF_Import!$J$1,Podesavanja!$AA$3:$AD$28, 4, 0), 0))</f>
        <v/>
      </c>
      <c r="K184" s="230" t="str">
        <f ca="1">IF( ISNA( VLOOKUP( APIF_Import!$O184 &amp; APIF_Import!$K$1,Podesavanja!$AA$3:$AD$28, 4, 0)), "", VLOOKUP( APIF_Import!$C184, INDIRECT( "Lookup_" &amp; APIF_Import!$M184:$O184), VLOOKUP( APIF_Import!$O184 &amp; APIF_Import!$K$1,Podesavanja!$AA$3:$AD$28, 4, 0), 0))</f>
        <v/>
      </c>
      <c r="L184" s="230" t="str">
        <f ca="1">IF( ISNA( VLOOKUP( APIF_Import!$O184 &amp; APIF_Import!$L$1,Podesavanja!$AA$3:$AD$28, 4, 0)), "", VLOOKUP( APIF_Import!$C184, INDIRECT( "Lookup_" &amp; APIF_Import!$M184:$O184), VLOOKUP( APIF_Import!$O184 &amp; APIF_Import!$L$1,Podesavanja!$AA$3:$AD$28, 4, 0), 0))</f>
        <v/>
      </c>
      <c r="M184" s="230" t="str">
        <f ca="1">IF( ISNA( VLOOKUP( APIF_Import!$O184 &amp; APIF_Import!$M$1,Podesavanja!$AA$3:$AD$28, 4, 0)), "", VLOOKUP( APIF_Import!$C184, INDIRECT( "Lookup_" &amp; APIF_Import!$M184:$O184), VLOOKUP( APIF_Import!$O184 &amp; APIF_Import!$M$1,Podesavanja!$AA$3:$AD$28, 4, 0), 0))</f>
        <v/>
      </c>
      <c r="N184" s="8">
        <v>183</v>
      </c>
      <c r="O184" s="230" t="s">
        <v>2377</v>
      </c>
    </row>
    <row r="185" spans="2:15">
      <c r="B185" s="44">
        <f ca="1">VLOOKUP( APIF_Import!$O185, Podesavanja!$N$3:$Q$9, 4, 0)</f>
        <v>3</v>
      </c>
      <c r="C185" s="229">
        <f ca="1">VLOOKUP( APIF_Import!$N185, Aop!$A$2:$P$456, 4, 0)</f>
        <v>246</v>
      </c>
      <c r="D185" s="230" t="str">
        <f ca="1">IF( ISNA( VLOOKUP( APIF_Import!$O185 &amp; APIF_Import!$D$1,Podesavanja!$AA$3:$AD$28, 4, 0)), "", SUBSTITUTE( VALUE( VLOOKUP( APIF_Import!$C185, INDIRECT( "Lookup_" &amp; APIF_Import!$O185), VLOOKUP( APIF_Import!$O185 &amp; APIF_Import!$D$1,Podesavanja!$AA$3:$AD$28, 4, 0), 0)), ".", ","))</f>
        <v>22</v>
      </c>
      <c r="E185" s="230">
        <f ca="1">IF( ISNA( VLOOKUP( APIF_Import!$O185 &amp; APIF_Import!$E$1,Podesavanja!$AA$3:$AD$28, 4, 0)), "", VLOOKUP( APIF_Import!$C185, INDIRECT( "Lookup_" &amp; APIF_Import!$O185), VLOOKUP( APIF_Import!$O185 &amp; APIF_Import!$E$1,Podesavanja!$AA$3:$AD$28, 4, 0), 0))</f>
        <v>6</v>
      </c>
      <c r="F185" s="230" t="str">
        <f ca="1">IF( ISNA( VLOOKUP( APIF_Import!$O185 &amp; APIF_Import!$F$1,Podesavanja!$AA$3:$AD$28, 4, 0)), "", VLOOKUP( APIF_Import!$C185, INDIRECT( "Lookup_" &amp; APIF_Import!$O185), VLOOKUP( APIF_Import!$O185 &amp; APIF_Import!$F$1,Podesavanja!$AA$3:$AD$28, 4, 0), 0))</f>
        <v/>
      </c>
      <c r="G185" s="230" t="str">
        <f ca="1">IF( ISNA( VLOOKUP( APIF_Import!$O185 &amp; APIF_Import!$G$1,Podesavanja!$AA$3:$AD$28, 4, 0)), "", VLOOKUP( APIF_Import!$C185, INDIRECT( "Lookup_" &amp; APIF_Import!$O185), VLOOKUP( APIF_Import!$O185 &amp; APIF_Import!$G$1,Podesavanja!$AA$3:$AD$28, 4, 0), 0))</f>
        <v/>
      </c>
      <c r="H185" s="230" t="str">
        <f ca="1">IF( ISNA( VLOOKUP( APIF_Import!$O185 &amp; APIF_Import!$H$1,Podesavanja!$AA$3:$AD$28, 4, 0)), "", VLOOKUP( APIF_Import!$C185, INDIRECT( "Lookup_" &amp; APIF_Import!$O185), VLOOKUP( APIF_Import!$O185 &amp; APIF_Import!$H$1,Podesavanja!$AA$3:$AD$28, 4, 0), 0))</f>
        <v/>
      </c>
      <c r="I185" s="230" t="str">
        <f ca="1">IF( ISNA( VLOOKUP( APIF_Import!$O185 &amp; APIF_Import!$I$1,Podesavanja!$AA$3:$AD$28, 4, 0)), "", VLOOKUP( APIF_Import!$C185, INDIRECT( "Lookup_" &amp; APIF_Import!$M185:$O185), VLOOKUP( APIF_Import!$O185 &amp; APIF_Import!$I$1,Podesavanja!$AA$3:$AD$28, 4, 0), 0))</f>
        <v/>
      </c>
      <c r="J185" s="230" t="str">
        <f ca="1">IF( ISNA( VLOOKUP( APIF_Import!$O185 &amp; APIF_Import!$J$1,Podesavanja!$AA$3:$AD$28, 4, 0)), "", VLOOKUP( APIF_Import!$C185, INDIRECT( "Lookup_" &amp; APIF_Import!$M185:$O185), VLOOKUP( APIF_Import!$O185 &amp; APIF_Import!$J$1,Podesavanja!$AA$3:$AD$28, 4, 0), 0))</f>
        <v/>
      </c>
      <c r="K185" s="230" t="str">
        <f ca="1">IF( ISNA( VLOOKUP( APIF_Import!$O185 &amp; APIF_Import!$K$1,Podesavanja!$AA$3:$AD$28, 4, 0)), "", VLOOKUP( APIF_Import!$C185, INDIRECT( "Lookup_" &amp; APIF_Import!$M185:$O185), VLOOKUP( APIF_Import!$O185 &amp; APIF_Import!$K$1,Podesavanja!$AA$3:$AD$28, 4, 0), 0))</f>
        <v/>
      </c>
      <c r="L185" s="230" t="str">
        <f ca="1">IF( ISNA( VLOOKUP( APIF_Import!$O185 &amp; APIF_Import!$L$1,Podesavanja!$AA$3:$AD$28, 4, 0)), "", VLOOKUP( APIF_Import!$C185, INDIRECT( "Lookup_" &amp; APIF_Import!$M185:$O185), VLOOKUP( APIF_Import!$O185 &amp; APIF_Import!$L$1,Podesavanja!$AA$3:$AD$28, 4, 0), 0))</f>
        <v/>
      </c>
      <c r="M185" s="230" t="str">
        <f ca="1">IF( ISNA( VLOOKUP( APIF_Import!$O185 &amp; APIF_Import!$M$1,Podesavanja!$AA$3:$AD$28, 4, 0)), "", VLOOKUP( APIF_Import!$C185, INDIRECT( "Lookup_" &amp; APIF_Import!$M185:$O185), VLOOKUP( APIF_Import!$O185 &amp; APIF_Import!$M$1,Podesavanja!$AA$3:$AD$28, 4, 0), 0))</f>
        <v/>
      </c>
      <c r="N185" s="8">
        <v>184</v>
      </c>
      <c r="O185" s="230" t="s">
        <v>2377</v>
      </c>
    </row>
    <row r="186" spans="2:15">
      <c r="B186" s="44">
        <f ca="1">VLOOKUP( APIF_Import!$O186, Podesavanja!$N$3:$Q$9, 4, 0)</f>
        <v>3</v>
      </c>
      <c r="C186" s="229">
        <f ca="1">VLOOKUP( APIF_Import!$N186, Aop!$A$2:$P$456, 4, 0)</f>
        <v>247</v>
      </c>
      <c r="D186" s="230" t="str">
        <f ca="1">IF( ISNA( VLOOKUP( APIF_Import!$O186 &amp; APIF_Import!$D$1,Podesavanja!$AA$3:$AD$28, 4, 0)), "", SUBSTITUTE( VALUE( VLOOKUP( APIF_Import!$C186, INDIRECT( "Lookup_" &amp; APIF_Import!$O186), VLOOKUP( APIF_Import!$O186 &amp; APIF_Import!$D$1,Podesavanja!$AA$3:$AD$28, 4, 0), 0)), ".", ","))</f>
        <v>0</v>
      </c>
      <c r="E186" s="230">
        <f ca="1">IF( ISNA( VLOOKUP( APIF_Import!$O186 &amp; APIF_Import!$E$1,Podesavanja!$AA$3:$AD$28, 4, 0)), "", VLOOKUP( APIF_Import!$C186, INDIRECT( "Lookup_" &amp; APIF_Import!$O186), VLOOKUP( APIF_Import!$O186 &amp; APIF_Import!$E$1,Podesavanja!$AA$3:$AD$28, 4, 0), 0))</f>
        <v>1474</v>
      </c>
      <c r="F186" s="230" t="str">
        <f ca="1">IF( ISNA( VLOOKUP( APIF_Import!$O186 &amp; APIF_Import!$F$1,Podesavanja!$AA$3:$AD$28, 4, 0)), "", VLOOKUP( APIF_Import!$C186, INDIRECT( "Lookup_" &amp; APIF_Import!$O186), VLOOKUP( APIF_Import!$O186 &amp; APIF_Import!$F$1,Podesavanja!$AA$3:$AD$28, 4, 0), 0))</f>
        <v/>
      </c>
      <c r="G186" s="230" t="str">
        <f ca="1">IF( ISNA( VLOOKUP( APIF_Import!$O186 &amp; APIF_Import!$G$1,Podesavanja!$AA$3:$AD$28, 4, 0)), "", VLOOKUP( APIF_Import!$C186, INDIRECT( "Lookup_" &amp; APIF_Import!$O186), VLOOKUP( APIF_Import!$O186 &amp; APIF_Import!$G$1,Podesavanja!$AA$3:$AD$28, 4, 0), 0))</f>
        <v/>
      </c>
      <c r="H186" s="230" t="str">
        <f ca="1">IF( ISNA( VLOOKUP( APIF_Import!$O186 &amp; APIF_Import!$H$1,Podesavanja!$AA$3:$AD$28, 4, 0)), "", VLOOKUP( APIF_Import!$C186, INDIRECT( "Lookup_" &amp; APIF_Import!$O186), VLOOKUP( APIF_Import!$O186 &amp; APIF_Import!$H$1,Podesavanja!$AA$3:$AD$28, 4, 0), 0))</f>
        <v/>
      </c>
      <c r="I186" s="230" t="str">
        <f ca="1">IF( ISNA( VLOOKUP( APIF_Import!$O186 &amp; APIF_Import!$I$1,Podesavanja!$AA$3:$AD$28, 4, 0)), "", VLOOKUP( APIF_Import!$C186, INDIRECT( "Lookup_" &amp; APIF_Import!$M186:$O186), VLOOKUP( APIF_Import!$O186 &amp; APIF_Import!$I$1,Podesavanja!$AA$3:$AD$28, 4, 0), 0))</f>
        <v/>
      </c>
      <c r="J186" s="230" t="str">
        <f ca="1">IF( ISNA( VLOOKUP( APIF_Import!$O186 &amp; APIF_Import!$J$1,Podesavanja!$AA$3:$AD$28, 4, 0)), "", VLOOKUP( APIF_Import!$C186, INDIRECT( "Lookup_" &amp; APIF_Import!$M186:$O186), VLOOKUP( APIF_Import!$O186 &amp; APIF_Import!$J$1,Podesavanja!$AA$3:$AD$28, 4, 0), 0))</f>
        <v/>
      </c>
      <c r="K186" s="230" t="str">
        <f ca="1">IF( ISNA( VLOOKUP( APIF_Import!$O186 &amp; APIF_Import!$K$1,Podesavanja!$AA$3:$AD$28, 4, 0)), "", VLOOKUP( APIF_Import!$C186, INDIRECT( "Lookup_" &amp; APIF_Import!$M186:$O186), VLOOKUP( APIF_Import!$O186 &amp; APIF_Import!$K$1,Podesavanja!$AA$3:$AD$28, 4, 0), 0))</f>
        <v/>
      </c>
      <c r="L186" s="230" t="str">
        <f ca="1">IF( ISNA( VLOOKUP( APIF_Import!$O186 &amp; APIF_Import!$L$1,Podesavanja!$AA$3:$AD$28, 4, 0)), "", VLOOKUP( APIF_Import!$C186, INDIRECT( "Lookup_" &amp; APIF_Import!$M186:$O186), VLOOKUP( APIF_Import!$O186 &amp; APIF_Import!$L$1,Podesavanja!$AA$3:$AD$28, 4, 0), 0))</f>
        <v/>
      </c>
      <c r="M186" s="230" t="str">
        <f ca="1">IF( ISNA( VLOOKUP( APIF_Import!$O186 &amp; APIF_Import!$M$1,Podesavanja!$AA$3:$AD$28, 4, 0)), "", VLOOKUP( APIF_Import!$C186, INDIRECT( "Lookup_" &amp; APIF_Import!$M186:$O186), VLOOKUP( APIF_Import!$O186 &amp; APIF_Import!$M$1,Podesavanja!$AA$3:$AD$28, 4, 0), 0))</f>
        <v/>
      </c>
      <c r="N186" s="8">
        <v>185</v>
      </c>
      <c r="O186" s="230" t="s">
        <v>2377</v>
      </c>
    </row>
    <row r="187" spans="2:15">
      <c r="B187" s="44">
        <f ca="1">VLOOKUP( APIF_Import!$O187, Podesavanja!$N$3:$Q$9, 4, 0)</f>
        <v>3</v>
      </c>
      <c r="C187" s="229">
        <f ca="1">VLOOKUP( APIF_Import!$N187, Aop!$A$2:$P$456, 4, 0)</f>
        <v>248</v>
      </c>
      <c r="D187" s="230" t="str">
        <f ca="1">IF( ISNA( VLOOKUP( APIF_Import!$O187 &amp; APIF_Import!$D$1,Podesavanja!$AA$3:$AD$28, 4, 0)), "", SUBSTITUTE( VALUE( VLOOKUP( APIF_Import!$C187, INDIRECT( "Lookup_" &amp; APIF_Import!$O187), VLOOKUP( APIF_Import!$O187 &amp; APIF_Import!$D$1,Podesavanja!$AA$3:$AD$28, 4, 0), 0)), ".", ","))</f>
        <v>452</v>
      </c>
      <c r="E187" s="230">
        <f ca="1">IF( ISNA( VLOOKUP( APIF_Import!$O187 &amp; APIF_Import!$E$1,Podesavanja!$AA$3:$AD$28, 4, 0)), "", VLOOKUP( APIF_Import!$C187, INDIRECT( "Lookup_" &amp; APIF_Import!$O187), VLOOKUP( APIF_Import!$O187 &amp; APIF_Import!$E$1,Podesavanja!$AA$3:$AD$28, 4, 0), 0))</f>
        <v>2060</v>
      </c>
      <c r="F187" s="230" t="str">
        <f ca="1">IF( ISNA( VLOOKUP( APIF_Import!$O187 &amp; APIF_Import!$F$1,Podesavanja!$AA$3:$AD$28, 4, 0)), "", VLOOKUP( APIF_Import!$C187, INDIRECT( "Lookup_" &amp; APIF_Import!$O187), VLOOKUP( APIF_Import!$O187 &amp; APIF_Import!$F$1,Podesavanja!$AA$3:$AD$28, 4, 0), 0))</f>
        <v/>
      </c>
      <c r="G187" s="230" t="str">
        <f ca="1">IF( ISNA( VLOOKUP( APIF_Import!$O187 &amp; APIF_Import!$G$1,Podesavanja!$AA$3:$AD$28, 4, 0)), "", VLOOKUP( APIF_Import!$C187, INDIRECT( "Lookup_" &amp; APIF_Import!$O187), VLOOKUP( APIF_Import!$O187 &amp; APIF_Import!$G$1,Podesavanja!$AA$3:$AD$28, 4, 0), 0))</f>
        <v/>
      </c>
      <c r="H187" s="230" t="str">
        <f ca="1">IF( ISNA( VLOOKUP( APIF_Import!$O187 &amp; APIF_Import!$H$1,Podesavanja!$AA$3:$AD$28, 4, 0)), "", VLOOKUP( APIF_Import!$C187, INDIRECT( "Lookup_" &amp; APIF_Import!$O187), VLOOKUP( APIF_Import!$O187 &amp; APIF_Import!$H$1,Podesavanja!$AA$3:$AD$28, 4, 0), 0))</f>
        <v/>
      </c>
      <c r="I187" s="230" t="str">
        <f ca="1">IF( ISNA( VLOOKUP( APIF_Import!$O187 &amp; APIF_Import!$I$1,Podesavanja!$AA$3:$AD$28, 4, 0)), "", VLOOKUP( APIF_Import!$C187, INDIRECT( "Lookup_" &amp; APIF_Import!$M187:$O187), VLOOKUP( APIF_Import!$O187 &amp; APIF_Import!$I$1,Podesavanja!$AA$3:$AD$28, 4, 0), 0))</f>
        <v/>
      </c>
      <c r="J187" s="230" t="str">
        <f ca="1">IF( ISNA( VLOOKUP( APIF_Import!$O187 &amp; APIF_Import!$J$1,Podesavanja!$AA$3:$AD$28, 4, 0)), "", VLOOKUP( APIF_Import!$C187, INDIRECT( "Lookup_" &amp; APIF_Import!$M187:$O187), VLOOKUP( APIF_Import!$O187 &amp; APIF_Import!$J$1,Podesavanja!$AA$3:$AD$28, 4, 0), 0))</f>
        <v/>
      </c>
      <c r="K187" s="230" t="str">
        <f ca="1">IF( ISNA( VLOOKUP( APIF_Import!$O187 &amp; APIF_Import!$K$1,Podesavanja!$AA$3:$AD$28, 4, 0)), "", VLOOKUP( APIF_Import!$C187, INDIRECT( "Lookup_" &amp; APIF_Import!$M187:$O187), VLOOKUP( APIF_Import!$O187 &amp; APIF_Import!$K$1,Podesavanja!$AA$3:$AD$28, 4, 0), 0))</f>
        <v/>
      </c>
      <c r="L187" s="230" t="str">
        <f ca="1">IF( ISNA( VLOOKUP( APIF_Import!$O187 &amp; APIF_Import!$L$1,Podesavanja!$AA$3:$AD$28, 4, 0)), "", VLOOKUP( APIF_Import!$C187, INDIRECT( "Lookup_" &amp; APIF_Import!$M187:$O187), VLOOKUP( APIF_Import!$O187 &amp; APIF_Import!$L$1,Podesavanja!$AA$3:$AD$28, 4, 0), 0))</f>
        <v/>
      </c>
      <c r="M187" s="230" t="str">
        <f ca="1">IF( ISNA( VLOOKUP( APIF_Import!$O187 &amp; APIF_Import!$M$1,Podesavanja!$AA$3:$AD$28, 4, 0)), "", VLOOKUP( APIF_Import!$C187, INDIRECT( "Lookup_" &amp; APIF_Import!$M187:$O187), VLOOKUP( APIF_Import!$O187 &amp; APIF_Import!$M$1,Podesavanja!$AA$3:$AD$28, 4, 0), 0))</f>
        <v/>
      </c>
      <c r="N187" s="8">
        <v>186</v>
      </c>
      <c r="O187" s="230" t="s">
        <v>2377</v>
      </c>
    </row>
    <row r="188" spans="2:15">
      <c r="B188" s="44">
        <f ca="1">VLOOKUP( APIF_Import!$O188, Podesavanja!$N$3:$Q$9, 4, 0)</f>
        <v>3</v>
      </c>
      <c r="C188" s="229">
        <f ca="1">VLOOKUP( APIF_Import!$N188, Aop!$A$2:$P$456, 4, 0)</f>
        <v>249</v>
      </c>
      <c r="D188" s="230" t="str">
        <f ca="1">IF( ISNA( VLOOKUP( APIF_Import!$O188 &amp; APIF_Import!$D$1,Podesavanja!$AA$3:$AD$28, 4, 0)), "", SUBSTITUTE( VALUE( VLOOKUP( APIF_Import!$C188, INDIRECT( "Lookup_" &amp; APIF_Import!$O188), VLOOKUP( APIF_Import!$O188 &amp; APIF_Import!$D$1,Podesavanja!$AA$3:$AD$28, 4, 0), 0)), ".", ","))</f>
        <v>16474030</v>
      </c>
      <c r="E188" s="230">
        <f ca="1">IF( ISNA( VLOOKUP( APIF_Import!$O188 &amp; APIF_Import!$E$1,Podesavanja!$AA$3:$AD$28, 4, 0)), "", VLOOKUP( APIF_Import!$C188, INDIRECT( "Lookup_" &amp; APIF_Import!$O188), VLOOKUP( APIF_Import!$O188 &amp; APIF_Import!$E$1,Podesavanja!$AA$3:$AD$28, 4, 0), 0))</f>
        <v>53614</v>
      </c>
      <c r="F188" s="230" t="str">
        <f ca="1">IF( ISNA( VLOOKUP( APIF_Import!$O188 &amp; APIF_Import!$F$1,Podesavanja!$AA$3:$AD$28, 4, 0)), "", VLOOKUP( APIF_Import!$C188, INDIRECT( "Lookup_" &amp; APIF_Import!$O188), VLOOKUP( APIF_Import!$O188 &amp; APIF_Import!$F$1,Podesavanja!$AA$3:$AD$28, 4, 0), 0))</f>
        <v/>
      </c>
      <c r="G188" s="230" t="str">
        <f ca="1">IF( ISNA( VLOOKUP( APIF_Import!$O188 &amp; APIF_Import!$G$1,Podesavanja!$AA$3:$AD$28, 4, 0)), "", VLOOKUP( APIF_Import!$C188, INDIRECT( "Lookup_" &amp; APIF_Import!$O188), VLOOKUP( APIF_Import!$O188 &amp; APIF_Import!$G$1,Podesavanja!$AA$3:$AD$28, 4, 0), 0))</f>
        <v/>
      </c>
      <c r="H188" s="230" t="str">
        <f ca="1">IF( ISNA( VLOOKUP( APIF_Import!$O188 &amp; APIF_Import!$H$1,Podesavanja!$AA$3:$AD$28, 4, 0)), "", VLOOKUP( APIF_Import!$C188, INDIRECT( "Lookup_" &amp; APIF_Import!$O188), VLOOKUP( APIF_Import!$O188 &amp; APIF_Import!$H$1,Podesavanja!$AA$3:$AD$28, 4, 0), 0))</f>
        <v/>
      </c>
      <c r="I188" s="230" t="str">
        <f ca="1">IF( ISNA( VLOOKUP( APIF_Import!$O188 &amp; APIF_Import!$I$1,Podesavanja!$AA$3:$AD$28, 4, 0)), "", VLOOKUP( APIF_Import!$C188, INDIRECT( "Lookup_" &amp; APIF_Import!$M188:$O188), VLOOKUP( APIF_Import!$O188 &amp; APIF_Import!$I$1,Podesavanja!$AA$3:$AD$28, 4, 0), 0))</f>
        <v/>
      </c>
      <c r="J188" s="230" t="str">
        <f ca="1">IF( ISNA( VLOOKUP( APIF_Import!$O188 &amp; APIF_Import!$J$1,Podesavanja!$AA$3:$AD$28, 4, 0)), "", VLOOKUP( APIF_Import!$C188, INDIRECT( "Lookup_" &amp; APIF_Import!$M188:$O188), VLOOKUP( APIF_Import!$O188 &amp; APIF_Import!$J$1,Podesavanja!$AA$3:$AD$28, 4, 0), 0))</f>
        <v/>
      </c>
      <c r="K188" s="230" t="str">
        <f ca="1">IF( ISNA( VLOOKUP( APIF_Import!$O188 &amp; APIF_Import!$K$1,Podesavanja!$AA$3:$AD$28, 4, 0)), "", VLOOKUP( APIF_Import!$C188, INDIRECT( "Lookup_" &amp; APIF_Import!$M188:$O188), VLOOKUP( APIF_Import!$O188 &amp; APIF_Import!$K$1,Podesavanja!$AA$3:$AD$28, 4, 0), 0))</f>
        <v/>
      </c>
      <c r="L188" s="230" t="str">
        <f ca="1">IF( ISNA( VLOOKUP( APIF_Import!$O188 &amp; APIF_Import!$L$1,Podesavanja!$AA$3:$AD$28, 4, 0)), "", VLOOKUP( APIF_Import!$C188, INDIRECT( "Lookup_" &amp; APIF_Import!$M188:$O188), VLOOKUP( APIF_Import!$O188 &amp; APIF_Import!$L$1,Podesavanja!$AA$3:$AD$28, 4, 0), 0))</f>
        <v/>
      </c>
      <c r="M188" s="230" t="str">
        <f ca="1">IF( ISNA( VLOOKUP( APIF_Import!$O188 &amp; APIF_Import!$M$1,Podesavanja!$AA$3:$AD$28, 4, 0)), "", VLOOKUP( APIF_Import!$C188, INDIRECT( "Lookup_" &amp; APIF_Import!$M188:$O188), VLOOKUP( APIF_Import!$O188 &amp; APIF_Import!$M$1,Podesavanja!$AA$3:$AD$28, 4, 0), 0))</f>
        <v/>
      </c>
      <c r="N188" s="8">
        <v>187</v>
      </c>
      <c r="O188" s="230" t="s">
        <v>2377</v>
      </c>
    </row>
    <row r="189" spans="2:15">
      <c r="B189" s="44">
        <f ca="1">VLOOKUP( APIF_Import!$O189, Podesavanja!$N$3:$Q$9, 4, 0)</f>
        <v>3</v>
      </c>
      <c r="C189" s="229">
        <f ca="1">VLOOKUP( APIF_Import!$N189, Aop!$A$2:$P$456, 4, 0)</f>
        <v>250</v>
      </c>
      <c r="D189" s="230" t="str">
        <f ca="1">IF( ISNA( VLOOKUP( APIF_Import!$O189 &amp; APIF_Import!$D$1,Podesavanja!$AA$3:$AD$28, 4, 0)), "", SUBSTITUTE( VALUE( VLOOKUP( APIF_Import!$C189, INDIRECT( "Lookup_" &amp; APIF_Import!$O189), VLOOKUP( APIF_Import!$O189 &amp; APIF_Import!$D$1,Podesavanja!$AA$3:$AD$28, 4, 0), 0)), ".", ","))</f>
        <v>0</v>
      </c>
      <c r="E189" s="230">
        <f ca="1">IF( ISNA( VLOOKUP( APIF_Import!$O189 &amp; APIF_Import!$E$1,Podesavanja!$AA$3:$AD$28, 4, 0)), "", VLOOKUP( APIF_Import!$C189, INDIRECT( "Lookup_" &amp; APIF_Import!$O189), VLOOKUP( APIF_Import!$O189 &amp; APIF_Import!$E$1,Podesavanja!$AA$3:$AD$28, 4, 0), 0))</f>
        <v>0</v>
      </c>
      <c r="F189" s="230" t="str">
        <f ca="1">IF( ISNA( VLOOKUP( APIF_Import!$O189 &amp; APIF_Import!$F$1,Podesavanja!$AA$3:$AD$28, 4, 0)), "", VLOOKUP( APIF_Import!$C189, INDIRECT( "Lookup_" &amp; APIF_Import!$O189), VLOOKUP( APIF_Import!$O189 &amp; APIF_Import!$F$1,Podesavanja!$AA$3:$AD$28, 4, 0), 0))</f>
        <v/>
      </c>
      <c r="G189" s="230" t="str">
        <f ca="1">IF( ISNA( VLOOKUP( APIF_Import!$O189 &amp; APIF_Import!$G$1,Podesavanja!$AA$3:$AD$28, 4, 0)), "", VLOOKUP( APIF_Import!$C189, INDIRECT( "Lookup_" &amp; APIF_Import!$O189), VLOOKUP( APIF_Import!$O189 &amp; APIF_Import!$G$1,Podesavanja!$AA$3:$AD$28, 4, 0), 0))</f>
        <v/>
      </c>
      <c r="H189" s="230" t="str">
        <f ca="1">IF( ISNA( VLOOKUP( APIF_Import!$O189 &amp; APIF_Import!$H$1,Podesavanja!$AA$3:$AD$28, 4, 0)), "", VLOOKUP( APIF_Import!$C189, INDIRECT( "Lookup_" &amp; APIF_Import!$O189), VLOOKUP( APIF_Import!$O189 &amp; APIF_Import!$H$1,Podesavanja!$AA$3:$AD$28, 4, 0), 0))</f>
        <v/>
      </c>
      <c r="I189" s="230" t="str">
        <f ca="1">IF( ISNA( VLOOKUP( APIF_Import!$O189 &amp; APIF_Import!$I$1,Podesavanja!$AA$3:$AD$28, 4, 0)), "", VLOOKUP( APIF_Import!$C189, INDIRECT( "Lookup_" &amp; APIF_Import!$M189:$O189), VLOOKUP( APIF_Import!$O189 &amp; APIF_Import!$I$1,Podesavanja!$AA$3:$AD$28, 4, 0), 0))</f>
        <v/>
      </c>
      <c r="J189" s="230" t="str">
        <f ca="1">IF( ISNA( VLOOKUP( APIF_Import!$O189 &amp; APIF_Import!$J$1,Podesavanja!$AA$3:$AD$28, 4, 0)), "", VLOOKUP( APIF_Import!$C189, INDIRECT( "Lookup_" &amp; APIF_Import!$M189:$O189), VLOOKUP( APIF_Import!$O189 &amp; APIF_Import!$J$1,Podesavanja!$AA$3:$AD$28, 4, 0), 0))</f>
        <v/>
      </c>
      <c r="K189" s="230" t="str">
        <f ca="1">IF( ISNA( VLOOKUP( APIF_Import!$O189 &amp; APIF_Import!$K$1,Podesavanja!$AA$3:$AD$28, 4, 0)), "", VLOOKUP( APIF_Import!$C189, INDIRECT( "Lookup_" &amp; APIF_Import!$M189:$O189), VLOOKUP( APIF_Import!$O189 &amp; APIF_Import!$K$1,Podesavanja!$AA$3:$AD$28, 4, 0), 0))</f>
        <v/>
      </c>
      <c r="L189" s="230" t="str">
        <f ca="1">IF( ISNA( VLOOKUP( APIF_Import!$O189 &amp; APIF_Import!$L$1,Podesavanja!$AA$3:$AD$28, 4, 0)), "", VLOOKUP( APIF_Import!$C189, INDIRECT( "Lookup_" &amp; APIF_Import!$M189:$O189), VLOOKUP( APIF_Import!$O189 &amp; APIF_Import!$L$1,Podesavanja!$AA$3:$AD$28, 4, 0), 0))</f>
        <v/>
      </c>
      <c r="M189" s="230" t="str">
        <f ca="1">IF( ISNA( VLOOKUP( APIF_Import!$O189 &amp; APIF_Import!$M$1,Podesavanja!$AA$3:$AD$28, 4, 0)), "", VLOOKUP( APIF_Import!$C189, INDIRECT( "Lookup_" &amp; APIF_Import!$M189:$O189), VLOOKUP( APIF_Import!$O189 &amp; APIF_Import!$M$1,Podesavanja!$AA$3:$AD$28, 4, 0), 0))</f>
        <v/>
      </c>
      <c r="N189" s="8">
        <v>188</v>
      </c>
      <c r="O189" s="230" t="s">
        <v>2377</v>
      </c>
    </row>
    <row r="190" spans="2:15">
      <c r="B190" s="44">
        <f ca="1">VLOOKUP( APIF_Import!$O190, Podesavanja!$N$3:$Q$9, 4, 0)</f>
        <v>3</v>
      </c>
      <c r="C190" s="229">
        <f ca="1">VLOOKUP( APIF_Import!$N190, Aop!$A$2:$P$456, 4, 0)</f>
        <v>251</v>
      </c>
      <c r="D190" s="230" t="str">
        <f ca="1">IF( ISNA( VLOOKUP( APIF_Import!$O190 &amp; APIF_Import!$D$1,Podesavanja!$AA$3:$AD$28, 4, 0)), "", SUBSTITUTE( VALUE( VLOOKUP( APIF_Import!$C190, INDIRECT( "Lookup_" &amp; APIF_Import!$O190), VLOOKUP( APIF_Import!$O190 &amp; APIF_Import!$D$1,Podesavanja!$AA$3:$AD$28, 4, 0), 0)), ".", ","))</f>
        <v>503</v>
      </c>
      <c r="E190" s="230">
        <f ca="1">IF( ISNA( VLOOKUP( APIF_Import!$O190 &amp; APIF_Import!$E$1,Podesavanja!$AA$3:$AD$28, 4, 0)), "", VLOOKUP( APIF_Import!$C190, INDIRECT( "Lookup_" &amp; APIF_Import!$O190), VLOOKUP( APIF_Import!$O190 &amp; APIF_Import!$E$1,Podesavanja!$AA$3:$AD$28, 4, 0), 0))</f>
        <v>0</v>
      </c>
      <c r="F190" s="230" t="str">
        <f ca="1">IF( ISNA( VLOOKUP( APIF_Import!$O190 &amp; APIF_Import!$F$1,Podesavanja!$AA$3:$AD$28, 4, 0)), "", VLOOKUP( APIF_Import!$C190, INDIRECT( "Lookup_" &amp; APIF_Import!$O190), VLOOKUP( APIF_Import!$O190 &amp; APIF_Import!$F$1,Podesavanja!$AA$3:$AD$28, 4, 0), 0))</f>
        <v/>
      </c>
      <c r="G190" s="230" t="str">
        <f ca="1">IF( ISNA( VLOOKUP( APIF_Import!$O190 &amp; APIF_Import!$G$1,Podesavanja!$AA$3:$AD$28, 4, 0)), "", VLOOKUP( APIF_Import!$C190, INDIRECT( "Lookup_" &amp; APIF_Import!$O190), VLOOKUP( APIF_Import!$O190 &amp; APIF_Import!$G$1,Podesavanja!$AA$3:$AD$28, 4, 0), 0))</f>
        <v/>
      </c>
      <c r="H190" s="230" t="str">
        <f ca="1">IF( ISNA( VLOOKUP( APIF_Import!$O190 &amp; APIF_Import!$H$1,Podesavanja!$AA$3:$AD$28, 4, 0)), "", VLOOKUP( APIF_Import!$C190, INDIRECT( "Lookup_" &amp; APIF_Import!$O190), VLOOKUP( APIF_Import!$O190 &amp; APIF_Import!$H$1,Podesavanja!$AA$3:$AD$28, 4, 0), 0))</f>
        <v/>
      </c>
      <c r="I190" s="230" t="str">
        <f ca="1">IF( ISNA( VLOOKUP( APIF_Import!$O190 &amp; APIF_Import!$I$1,Podesavanja!$AA$3:$AD$28, 4, 0)), "", VLOOKUP( APIF_Import!$C190, INDIRECT( "Lookup_" &amp; APIF_Import!$M190:$O190), VLOOKUP( APIF_Import!$O190 &amp; APIF_Import!$I$1,Podesavanja!$AA$3:$AD$28, 4, 0), 0))</f>
        <v/>
      </c>
      <c r="J190" s="230" t="str">
        <f ca="1">IF( ISNA( VLOOKUP( APIF_Import!$O190 &amp; APIF_Import!$J$1,Podesavanja!$AA$3:$AD$28, 4, 0)), "", VLOOKUP( APIF_Import!$C190, INDIRECT( "Lookup_" &amp; APIF_Import!$M190:$O190), VLOOKUP( APIF_Import!$O190 &amp; APIF_Import!$J$1,Podesavanja!$AA$3:$AD$28, 4, 0), 0))</f>
        <v/>
      </c>
      <c r="K190" s="230" t="str">
        <f ca="1">IF( ISNA( VLOOKUP( APIF_Import!$O190 &amp; APIF_Import!$K$1,Podesavanja!$AA$3:$AD$28, 4, 0)), "", VLOOKUP( APIF_Import!$C190, INDIRECT( "Lookup_" &amp; APIF_Import!$M190:$O190), VLOOKUP( APIF_Import!$O190 &amp; APIF_Import!$K$1,Podesavanja!$AA$3:$AD$28, 4, 0), 0))</f>
        <v/>
      </c>
      <c r="L190" s="230" t="str">
        <f ca="1">IF( ISNA( VLOOKUP( APIF_Import!$O190 &amp; APIF_Import!$L$1,Podesavanja!$AA$3:$AD$28, 4, 0)), "", VLOOKUP( APIF_Import!$C190, INDIRECT( "Lookup_" &amp; APIF_Import!$M190:$O190), VLOOKUP( APIF_Import!$O190 &amp; APIF_Import!$L$1,Podesavanja!$AA$3:$AD$28, 4, 0), 0))</f>
        <v/>
      </c>
      <c r="M190" s="230" t="str">
        <f ca="1">IF( ISNA( VLOOKUP( APIF_Import!$O190 &amp; APIF_Import!$M$1,Podesavanja!$AA$3:$AD$28, 4, 0)), "", VLOOKUP( APIF_Import!$C190, INDIRECT( "Lookup_" &amp; APIF_Import!$M190:$O190), VLOOKUP( APIF_Import!$O190 &amp; APIF_Import!$M$1,Podesavanja!$AA$3:$AD$28, 4, 0), 0))</f>
        <v/>
      </c>
      <c r="N190" s="8">
        <v>189</v>
      </c>
      <c r="O190" s="230" t="s">
        <v>2377</v>
      </c>
    </row>
    <row r="191" spans="2:15">
      <c r="B191" s="44">
        <f ca="1">VLOOKUP( APIF_Import!$O191, Podesavanja!$N$3:$Q$9, 4, 0)</f>
        <v>3</v>
      </c>
      <c r="C191" s="229">
        <f ca="1">VLOOKUP( APIF_Import!$N191, Aop!$A$2:$P$456, 4, 0)</f>
        <v>252</v>
      </c>
      <c r="D191" s="230" t="str">
        <f ca="1">IF( ISNA( VLOOKUP( APIF_Import!$O191 &amp; APIF_Import!$D$1,Podesavanja!$AA$3:$AD$28, 4, 0)), "", SUBSTITUTE( VALUE( VLOOKUP( APIF_Import!$C191, INDIRECT( "Lookup_" &amp; APIF_Import!$O191), VLOOKUP( APIF_Import!$O191 &amp; APIF_Import!$D$1,Podesavanja!$AA$3:$AD$28, 4, 0), 0)), ".", ","))</f>
        <v>0</v>
      </c>
      <c r="E191" s="230">
        <f ca="1">IF( ISNA( VLOOKUP( APIF_Import!$O191 &amp; APIF_Import!$E$1,Podesavanja!$AA$3:$AD$28, 4, 0)), "", VLOOKUP( APIF_Import!$C191, INDIRECT( "Lookup_" &amp; APIF_Import!$O191), VLOOKUP( APIF_Import!$O191 &amp; APIF_Import!$E$1,Podesavanja!$AA$3:$AD$28, 4, 0), 0))</f>
        <v>0</v>
      </c>
      <c r="F191" s="230" t="str">
        <f ca="1">IF( ISNA( VLOOKUP( APIF_Import!$O191 &amp; APIF_Import!$F$1,Podesavanja!$AA$3:$AD$28, 4, 0)), "", VLOOKUP( APIF_Import!$C191, INDIRECT( "Lookup_" &amp; APIF_Import!$O191), VLOOKUP( APIF_Import!$O191 &amp; APIF_Import!$F$1,Podesavanja!$AA$3:$AD$28, 4, 0), 0))</f>
        <v/>
      </c>
      <c r="G191" s="230" t="str">
        <f ca="1">IF( ISNA( VLOOKUP( APIF_Import!$O191 &amp; APIF_Import!$G$1,Podesavanja!$AA$3:$AD$28, 4, 0)), "", VLOOKUP( APIF_Import!$C191, INDIRECT( "Lookup_" &amp; APIF_Import!$O191), VLOOKUP( APIF_Import!$O191 &amp; APIF_Import!$G$1,Podesavanja!$AA$3:$AD$28, 4, 0), 0))</f>
        <v/>
      </c>
      <c r="H191" s="230" t="str">
        <f ca="1">IF( ISNA( VLOOKUP( APIF_Import!$O191 &amp; APIF_Import!$H$1,Podesavanja!$AA$3:$AD$28, 4, 0)), "", VLOOKUP( APIF_Import!$C191, INDIRECT( "Lookup_" &amp; APIF_Import!$O191), VLOOKUP( APIF_Import!$O191 &amp; APIF_Import!$H$1,Podesavanja!$AA$3:$AD$28, 4, 0), 0))</f>
        <v/>
      </c>
      <c r="I191" s="230" t="str">
        <f ca="1">IF( ISNA( VLOOKUP( APIF_Import!$O191 &amp; APIF_Import!$I$1,Podesavanja!$AA$3:$AD$28, 4, 0)), "", VLOOKUP( APIF_Import!$C191, INDIRECT( "Lookup_" &amp; APIF_Import!$M191:$O191), VLOOKUP( APIF_Import!$O191 &amp; APIF_Import!$I$1,Podesavanja!$AA$3:$AD$28, 4, 0), 0))</f>
        <v/>
      </c>
      <c r="J191" s="230" t="str">
        <f ca="1">IF( ISNA( VLOOKUP( APIF_Import!$O191 &amp; APIF_Import!$J$1,Podesavanja!$AA$3:$AD$28, 4, 0)), "", VLOOKUP( APIF_Import!$C191, INDIRECT( "Lookup_" &amp; APIF_Import!$M191:$O191), VLOOKUP( APIF_Import!$O191 &amp; APIF_Import!$J$1,Podesavanja!$AA$3:$AD$28, 4, 0), 0))</f>
        <v/>
      </c>
      <c r="K191" s="230" t="str">
        <f ca="1">IF( ISNA( VLOOKUP( APIF_Import!$O191 &amp; APIF_Import!$K$1,Podesavanja!$AA$3:$AD$28, 4, 0)), "", VLOOKUP( APIF_Import!$C191, INDIRECT( "Lookup_" &amp; APIF_Import!$M191:$O191), VLOOKUP( APIF_Import!$O191 &amp; APIF_Import!$K$1,Podesavanja!$AA$3:$AD$28, 4, 0), 0))</f>
        <v/>
      </c>
      <c r="L191" s="230" t="str">
        <f ca="1">IF( ISNA( VLOOKUP( APIF_Import!$O191 &amp; APIF_Import!$L$1,Podesavanja!$AA$3:$AD$28, 4, 0)), "", VLOOKUP( APIF_Import!$C191, INDIRECT( "Lookup_" &amp; APIF_Import!$M191:$O191), VLOOKUP( APIF_Import!$O191 &amp; APIF_Import!$L$1,Podesavanja!$AA$3:$AD$28, 4, 0), 0))</f>
        <v/>
      </c>
      <c r="M191" s="230" t="str">
        <f ca="1">IF( ISNA( VLOOKUP( APIF_Import!$O191 &amp; APIF_Import!$M$1,Podesavanja!$AA$3:$AD$28, 4, 0)), "", VLOOKUP( APIF_Import!$C191, INDIRECT( "Lookup_" &amp; APIF_Import!$M191:$O191), VLOOKUP( APIF_Import!$O191 &amp; APIF_Import!$M$1,Podesavanja!$AA$3:$AD$28, 4, 0), 0))</f>
        <v/>
      </c>
      <c r="N191" s="8">
        <v>190</v>
      </c>
      <c r="O191" s="230" t="s">
        <v>2377</v>
      </c>
    </row>
    <row r="192" spans="2:15">
      <c r="B192" s="44">
        <f ca="1">VLOOKUP( APIF_Import!$O192, Podesavanja!$N$3:$Q$9, 4, 0)</f>
        <v>3</v>
      </c>
      <c r="C192" s="229">
        <f ca="1">VLOOKUP( APIF_Import!$N192, Aop!$A$2:$P$456, 4, 0)</f>
        <v>253</v>
      </c>
      <c r="D192" s="230" t="str">
        <f ca="1">IF( ISNA( VLOOKUP( APIF_Import!$O192 &amp; APIF_Import!$D$1,Podesavanja!$AA$3:$AD$28, 4, 0)), "", SUBSTITUTE( VALUE( VLOOKUP( APIF_Import!$C192, INDIRECT( "Lookup_" &amp; APIF_Import!$O192), VLOOKUP( APIF_Import!$O192 &amp; APIF_Import!$D$1,Podesavanja!$AA$3:$AD$28, 4, 0), 0)), ".", ","))</f>
        <v>0</v>
      </c>
      <c r="E192" s="230">
        <f ca="1">IF( ISNA( VLOOKUP( APIF_Import!$O192 &amp; APIF_Import!$E$1,Podesavanja!$AA$3:$AD$28, 4, 0)), "", VLOOKUP( APIF_Import!$C192, INDIRECT( "Lookup_" &amp; APIF_Import!$O192), VLOOKUP( APIF_Import!$O192 &amp; APIF_Import!$E$1,Podesavanja!$AA$3:$AD$28, 4, 0), 0))</f>
        <v>0</v>
      </c>
      <c r="F192" s="230" t="str">
        <f ca="1">IF( ISNA( VLOOKUP( APIF_Import!$O192 &amp; APIF_Import!$F$1,Podesavanja!$AA$3:$AD$28, 4, 0)), "", VLOOKUP( APIF_Import!$C192, INDIRECT( "Lookup_" &amp; APIF_Import!$O192), VLOOKUP( APIF_Import!$O192 &amp; APIF_Import!$F$1,Podesavanja!$AA$3:$AD$28, 4, 0), 0))</f>
        <v/>
      </c>
      <c r="G192" s="230" t="str">
        <f ca="1">IF( ISNA( VLOOKUP( APIF_Import!$O192 &amp; APIF_Import!$G$1,Podesavanja!$AA$3:$AD$28, 4, 0)), "", VLOOKUP( APIF_Import!$C192, INDIRECT( "Lookup_" &amp; APIF_Import!$O192), VLOOKUP( APIF_Import!$O192 &amp; APIF_Import!$G$1,Podesavanja!$AA$3:$AD$28, 4, 0), 0))</f>
        <v/>
      </c>
      <c r="H192" s="230" t="str">
        <f ca="1">IF( ISNA( VLOOKUP( APIF_Import!$O192 &amp; APIF_Import!$H$1,Podesavanja!$AA$3:$AD$28, 4, 0)), "", VLOOKUP( APIF_Import!$C192, INDIRECT( "Lookup_" &amp; APIF_Import!$O192), VLOOKUP( APIF_Import!$O192 &amp; APIF_Import!$H$1,Podesavanja!$AA$3:$AD$28, 4, 0), 0))</f>
        <v/>
      </c>
      <c r="I192" s="230" t="str">
        <f ca="1">IF( ISNA( VLOOKUP( APIF_Import!$O192 &amp; APIF_Import!$I$1,Podesavanja!$AA$3:$AD$28, 4, 0)), "", VLOOKUP( APIF_Import!$C192, INDIRECT( "Lookup_" &amp; APIF_Import!$M192:$O192), VLOOKUP( APIF_Import!$O192 &amp; APIF_Import!$I$1,Podesavanja!$AA$3:$AD$28, 4, 0), 0))</f>
        <v/>
      </c>
      <c r="J192" s="230" t="str">
        <f ca="1">IF( ISNA( VLOOKUP( APIF_Import!$O192 &amp; APIF_Import!$J$1,Podesavanja!$AA$3:$AD$28, 4, 0)), "", VLOOKUP( APIF_Import!$C192, INDIRECT( "Lookup_" &amp; APIF_Import!$M192:$O192), VLOOKUP( APIF_Import!$O192 &amp; APIF_Import!$J$1,Podesavanja!$AA$3:$AD$28, 4, 0), 0))</f>
        <v/>
      </c>
      <c r="K192" s="230" t="str">
        <f ca="1">IF( ISNA( VLOOKUP( APIF_Import!$O192 &amp; APIF_Import!$K$1,Podesavanja!$AA$3:$AD$28, 4, 0)), "", VLOOKUP( APIF_Import!$C192, INDIRECT( "Lookup_" &amp; APIF_Import!$M192:$O192), VLOOKUP( APIF_Import!$O192 &amp; APIF_Import!$K$1,Podesavanja!$AA$3:$AD$28, 4, 0), 0))</f>
        <v/>
      </c>
      <c r="L192" s="230" t="str">
        <f ca="1">IF( ISNA( VLOOKUP( APIF_Import!$O192 &amp; APIF_Import!$L$1,Podesavanja!$AA$3:$AD$28, 4, 0)), "", VLOOKUP( APIF_Import!$C192, INDIRECT( "Lookup_" &amp; APIF_Import!$M192:$O192), VLOOKUP( APIF_Import!$O192 &amp; APIF_Import!$L$1,Podesavanja!$AA$3:$AD$28, 4, 0), 0))</f>
        <v/>
      </c>
      <c r="M192" s="230" t="str">
        <f ca="1">IF( ISNA( VLOOKUP( APIF_Import!$O192 &amp; APIF_Import!$M$1,Podesavanja!$AA$3:$AD$28, 4, 0)), "", VLOOKUP( APIF_Import!$C192, INDIRECT( "Lookup_" &amp; APIF_Import!$M192:$O192), VLOOKUP( APIF_Import!$O192 &amp; APIF_Import!$M$1,Podesavanja!$AA$3:$AD$28, 4, 0), 0))</f>
        <v/>
      </c>
      <c r="N192" s="8">
        <v>191</v>
      </c>
      <c r="O192" s="230" t="s">
        <v>2377</v>
      </c>
    </row>
    <row r="193" spans="2:15">
      <c r="B193" s="44">
        <f ca="1">VLOOKUP( APIF_Import!$O193, Podesavanja!$N$3:$Q$9, 4, 0)</f>
        <v>3</v>
      </c>
      <c r="C193" s="229">
        <f ca="1">VLOOKUP( APIF_Import!$N193, Aop!$A$2:$P$456, 4, 0)</f>
        <v>254</v>
      </c>
      <c r="D193" s="230" t="str">
        <f ca="1">IF( ISNA( VLOOKUP( APIF_Import!$O193 &amp; APIF_Import!$D$1,Podesavanja!$AA$3:$AD$28, 4, 0)), "", SUBSTITUTE( VALUE( VLOOKUP( APIF_Import!$C193, INDIRECT( "Lookup_" &amp; APIF_Import!$O193), VLOOKUP( APIF_Import!$O193 &amp; APIF_Import!$D$1,Podesavanja!$AA$3:$AD$28, 4, 0), 0)), ".", ","))</f>
        <v>0</v>
      </c>
      <c r="E193" s="230">
        <f ca="1">IF( ISNA( VLOOKUP( APIF_Import!$O193 &amp; APIF_Import!$E$1,Podesavanja!$AA$3:$AD$28, 4, 0)), "", VLOOKUP( APIF_Import!$C193, INDIRECT( "Lookup_" &amp; APIF_Import!$O193), VLOOKUP( APIF_Import!$O193 &amp; APIF_Import!$E$1,Podesavanja!$AA$3:$AD$28, 4, 0), 0))</f>
        <v>0</v>
      </c>
      <c r="F193" s="230" t="str">
        <f ca="1">IF( ISNA( VLOOKUP( APIF_Import!$O193 &amp; APIF_Import!$F$1,Podesavanja!$AA$3:$AD$28, 4, 0)), "", VLOOKUP( APIF_Import!$C193, INDIRECT( "Lookup_" &amp; APIF_Import!$O193), VLOOKUP( APIF_Import!$O193 &amp; APIF_Import!$F$1,Podesavanja!$AA$3:$AD$28, 4, 0), 0))</f>
        <v/>
      </c>
      <c r="G193" s="230" t="str">
        <f ca="1">IF( ISNA( VLOOKUP( APIF_Import!$O193 &amp; APIF_Import!$G$1,Podesavanja!$AA$3:$AD$28, 4, 0)), "", VLOOKUP( APIF_Import!$C193, INDIRECT( "Lookup_" &amp; APIF_Import!$O193), VLOOKUP( APIF_Import!$O193 &amp; APIF_Import!$G$1,Podesavanja!$AA$3:$AD$28, 4, 0), 0))</f>
        <v/>
      </c>
      <c r="H193" s="230" t="str">
        <f ca="1">IF( ISNA( VLOOKUP( APIF_Import!$O193 &amp; APIF_Import!$H$1,Podesavanja!$AA$3:$AD$28, 4, 0)), "", VLOOKUP( APIF_Import!$C193, INDIRECT( "Lookup_" &amp; APIF_Import!$O193), VLOOKUP( APIF_Import!$O193 &amp; APIF_Import!$H$1,Podesavanja!$AA$3:$AD$28, 4, 0), 0))</f>
        <v/>
      </c>
      <c r="I193" s="230" t="str">
        <f ca="1">IF( ISNA( VLOOKUP( APIF_Import!$O193 &amp; APIF_Import!$I$1,Podesavanja!$AA$3:$AD$28, 4, 0)), "", VLOOKUP( APIF_Import!$C193, INDIRECT( "Lookup_" &amp; APIF_Import!$M193:$O193), VLOOKUP( APIF_Import!$O193 &amp; APIF_Import!$I$1,Podesavanja!$AA$3:$AD$28, 4, 0), 0))</f>
        <v/>
      </c>
      <c r="J193" s="230" t="str">
        <f ca="1">IF( ISNA( VLOOKUP( APIF_Import!$O193 &amp; APIF_Import!$J$1,Podesavanja!$AA$3:$AD$28, 4, 0)), "", VLOOKUP( APIF_Import!$C193, INDIRECT( "Lookup_" &amp; APIF_Import!$M193:$O193), VLOOKUP( APIF_Import!$O193 &amp; APIF_Import!$J$1,Podesavanja!$AA$3:$AD$28, 4, 0), 0))</f>
        <v/>
      </c>
      <c r="K193" s="230" t="str">
        <f ca="1">IF( ISNA( VLOOKUP( APIF_Import!$O193 &amp; APIF_Import!$K$1,Podesavanja!$AA$3:$AD$28, 4, 0)), "", VLOOKUP( APIF_Import!$C193, INDIRECT( "Lookup_" &amp; APIF_Import!$M193:$O193), VLOOKUP( APIF_Import!$O193 &amp; APIF_Import!$K$1,Podesavanja!$AA$3:$AD$28, 4, 0), 0))</f>
        <v/>
      </c>
      <c r="L193" s="230" t="str">
        <f ca="1">IF( ISNA( VLOOKUP( APIF_Import!$O193 &amp; APIF_Import!$L$1,Podesavanja!$AA$3:$AD$28, 4, 0)), "", VLOOKUP( APIF_Import!$C193, INDIRECT( "Lookup_" &amp; APIF_Import!$M193:$O193), VLOOKUP( APIF_Import!$O193 &amp; APIF_Import!$L$1,Podesavanja!$AA$3:$AD$28, 4, 0), 0))</f>
        <v/>
      </c>
      <c r="M193" s="230" t="str">
        <f ca="1">IF( ISNA( VLOOKUP( APIF_Import!$O193 &amp; APIF_Import!$M$1,Podesavanja!$AA$3:$AD$28, 4, 0)), "", VLOOKUP( APIF_Import!$C193, INDIRECT( "Lookup_" &amp; APIF_Import!$M193:$O193), VLOOKUP( APIF_Import!$O193 &amp; APIF_Import!$M$1,Podesavanja!$AA$3:$AD$28, 4, 0), 0))</f>
        <v/>
      </c>
      <c r="N193" s="8">
        <v>192</v>
      </c>
      <c r="O193" s="230" t="s">
        <v>2377</v>
      </c>
    </row>
    <row r="194" spans="2:15">
      <c r="B194" s="44">
        <f ca="1">VLOOKUP( APIF_Import!$O194, Podesavanja!$N$3:$Q$9, 4, 0)</f>
        <v>3</v>
      </c>
      <c r="C194" s="229">
        <f ca="1">VLOOKUP( APIF_Import!$N194, Aop!$A$2:$P$456, 4, 0)</f>
        <v>255</v>
      </c>
      <c r="D194" s="230" t="str">
        <f ca="1">IF( ISNA( VLOOKUP( APIF_Import!$O194 &amp; APIF_Import!$D$1,Podesavanja!$AA$3:$AD$28, 4, 0)), "", SUBSTITUTE( VALUE( VLOOKUP( APIF_Import!$C194, INDIRECT( "Lookup_" &amp; APIF_Import!$O194), VLOOKUP( APIF_Import!$O194 &amp; APIF_Import!$D$1,Podesavanja!$AA$3:$AD$28, 4, 0), 0)), ".", ","))</f>
        <v>0</v>
      </c>
      <c r="E194" s="230">
        <f ca="1">IF( ISNA( VLOOKUP( APIF_Import!$O194 &amp; APIF_Import!$E$1,Podesavanja!$AA$3:$AD$28, 4, 0)), "", VLOOKUP( APIF_Import!$C194, INDIRECT( "Lookup_" &amp; APIF_Import!$O194), VLOOKUP( APIF_Import!$O194 &amp; APIF_Import!$E$1,Podesavanja!$AA$3:$AD$28, 4, 0), 0))</f>
        <v>0</v>
      </c>
      <c r="F194" s="230" t="str">
        <f ca="1">IF( ISNA( VLOOKUP( APIF_Import!$O194 &amp; APIF_Import!$F$1,Podesavanja!$AA$3:$AD$28, 4, 0)), "", VLOOKUP( APIF_Import!$C194, INDIRECT( "Lookup_" &amp; APIF_Import!$O194), VLOOKUP( APIF_Import!$O194 &amp; APIF_Import!$F$1,Podesavanja!$AA$3:$AD$28, 4, 0), 0))</f>
        <v/>
      </c>
      <c r="G194" s="230" t="str">
        <f ca="1">IF( ISNA( VLOOKUP( APIF_Import!$O194 &amp; APIF_Import!$G$1,Podesavanja!$AA$3:$AD$28, 4, 0)), "", VLOOKUP( APIF_Import!$C194, INDIRECT( "Lookup_" &amp; APIF_Import!$O194), VLOOKUP( APIF_Import!$O194 &amp; APIF_Import!$G$1,Podesavanja!$AA$3:$AD$28, 4, 0), 0))</f>
        <v/>
      </c>
      <c r="H194" s="230" t="str">
        <f ca="1">IF( ISNA( VLOOKUP( APIF_Import!$O194 &amp; APIF_Import!$H$1,Podesavanja!$AA$3:$AD$28, 4, 0)), "", VLOOKUP( APIF_Import!$C194, INDIRECT( "Lookup_" &amp; APIF_Import!$O194), VLOOKUP( APIF_Import!$O194 &amp; APIF_Import!$H$1,Podesavanja!$AA$3:$AD$28, 4, 0), 0))</f>
        <v/>
      </c>
      <c r="I194" s="230" t="str">
        <f ca="1">IF( ISNA( VLOOKUP( APIF_Import!$O194 &amp; APIF_Import!$I$1,Podesavanja!$AA$3:$AD$28, 4, 0)), "", VLOOKUP( APIF_Import!$C194, INDIRECT( "Lookup_" &amp; APIF_Import!$M194:$O194), VLOOKUP( APIF_Import!$O194 &amp; APIF_Import!$I$1,Podesavanja!$AA$3:$AD$28, 4, 0), 0))</f>
        <v/>
      </c>
      <c r="J194" s="230" t="str">
        <f ca="1">IF( ISNA( VLOOKUP( APIF_Import!$O194 &amp; APIF_Import!$J$1,Podesavanja!$AA$3:$AD$28, 4, 0)), "", VLOOKUP( APIF_Import!$C194, INDIRECT( "Lookup_" &amp; APIF_Import!$M194:$O194), VLOOKUP( APIF_Import!$O194 &amp; APIF_Import!$J$1,Podesavanja!$AA$3:$AD$28, 4, 0), 0))</f>
        <v/>
      </c>
      <c r="K194" s="230" t="str">
        <f ca="1">IF( ISNA( VLOOKUP( APIF_Import!$O194 &amp; APIF_Import!$K$1,Podesavanja!$AA$3:$AD$28, 4, 0)), "", VLOOKUP( APIF_Import!$C194, INDIRECT( "Lookup_" &amp; APIF_Import!$M194:$O194), VLOOKUP( APIF_Import!$O194 &amp; APIF_Import!$K$1,Podesavanja!$AA$3:$AD$28, 4, 0), 0))</f>
        <v/>
      </c>
      <c r="L194" s="230" t="str">
        <f ca="1">IF( ISNA( VLOOKUP( APIF_Import!$O194 &amp; APIF_Import!$L$1,Podesavanja!$AA$3:$AD$28, 4, 0)), "", VLOOKUP( APIF_Import!$C194, INDIRECT( "Lookup_" &amp; APIF_Import!$M194:$O194), VLOOKUP( APIF_Import!$O194 &amp; APIF_Import!$L$1,Podesavanja!$AA$3:$AD$28, 4, 0), 0))</f>
        <v/>
      </c>
      <c r="M194" s="230" t="str">
        <f ca="1">IF( ISNA( VLOOKUP( APIF_Import!$O194 &amp; APIF_Import!$M$1,Podesavanja!$AA$3:$AD$28, 4, 0)), "", VLOOKUP( APIF_Import!$C194, INDIRECT( "Lookup_" &amp; APIF_Import!$M194:$O194), VLOOKUP( APIF_Import!$O194 &amp; APIF_Import!$M$1,Podesavanja!$AA$3:$AD$28, 4, 0), 0))</f>
        <v/>
      </c>
      <c r="N194" s="8">
        <v>193</v>
      </c>
      <c r="O194" s="230" t="s">
        <v>2377</v>
      </c>
    </row>
    <row r="195" spans="2:15">
      <c r="B195" s="44">
        <f ca="1">VLOOKUP( APIF_Import!$O195, Podesavanja!$N$3:$Q$9, 4, 0)</f>
        <v>3</v>
      </c>
      <c r="C195" s="229">
        <f ca="1">VLOOKUP( APIF_Import!$N195, Aop!$A$2:$P$456, 4, 0)</f>
        <v>256</v>
      </c>
      <c r="D195" s="230" t="str">
        <f ca="1">IF( ISNA( VLOOKUP( APIF_Import!$O195 &amp; APIF_Import!$D$1,Podesavanja!$AA$3:$AD$28, 4, 0)), "", SUBSTITUTE( VALUE( VLOOKUP( APIF_Import!$C195, INDIRECT( "Lookup_" &amp; APIF_Import!$O195), VLOOKUP( APIF_Import!$O195 &amp; APIF_Import!$D$1,Podesavanja!$AA$3:$AD$28, 4, 0), 0)), ".", ","))</f>
        <v>0</v>
      </c>
      <c r="E195" s="230">
        <f ca="1">IF( ISNA( VLOOKUP( APIF_Import!$O195 &amp; APIF_Import!$E$1,Podesavanja!$AA$3:$AD$28, 4, 0)), "", VLOOKUP( APIF_Import!$C195, INDIRECT( "Lookup_" &amp; APIF_Import!$O195), VLOOKUP( APIF_Import!$O195 &amp; APIF_Import!$E$1,Podesavanja!$AA$3:$AD$28, 4, 0), 0))</f>
        <v>0</v>
      </c>
      <c r="F195" s="230" t="str">
        <f ca="1">IF( ISNA( VLOOKUP( APIF_Import!$O195 &amp; APIF_Import!$F$1,Podesavanja!$AA$3:$AD$28, 4, 0)), "", VLOOKUP( APIF_Import!$C195, INDIRECT( "Lookup_" &amp; APIF_Import!$O195), VLOOKUP( APIF_Import!$O195 &amp; APIF_Import!$F$1,Podesavanja!$AA$3:$AD$28, 4, 0), 0))</f>
        <v/>
      </c>
      <c r="G195" s="230" t="str">
        <f ca="1">IF( ISNA( VLOOKUP( APIF_Import!$O195 &amp; APIF_Import!$G$1,Podesavanja!$AA$3:$AD$28, 4, 0)), "", VLOOKUP( APIF_Import!$C195, INDIRECT( "Lookup_" &amp; APIF_Import!$O195), VLOOKUP( APIF_Import!$O195 &amp; APIF_Import!$G$1,Podesavanja!$AA$3:$AD$28, 4, 0), 0))</f>
        <v/>
      </c>
      <c r="H195" s="230" t="str">
        <f ca="1">IF( ISNA( VLOOKUP( APIF_Import!$O195 &amp; APIF_Import!$H$1,Podesavanja!$AA$3:$AD$28, 4, 0)), "", VLOOKUP( APIF_Import!$C195, INDIRECT( "Lookup_" &amp; APIF_Import!$O195), VLOOKUP( APIF_Import!$O195 &amp; APIF_Import!$H$1,Podesavanja!$AA$3:$AD$28, 4, 0), 0))</f>
        <v/>
      </c>
      <c r="I195" s="230" t="str">
        <f ca="1">IF( ISNA( VLOOKUP( APIF_Import!$O195 &amp; APIF_Import!$I$1,Podesavanja!$AA$3:$AD$28, 4, 0)), "", VLOOKUP( APIF_Import!$C195, INDIRECT( "Lookup_" &amp; APIF_Import!$M195:$O195), VLOOKUP( APIF_Import!$O195 &amp; APIF_Import!$I$1,Podesavanja!$AA$3:$AD$28, 4, 0), 0))</f>
        <v/>
      </c>
      <c r="J195" s="230" t="str">
        <f ca="1">IF( ISNA( VLOOKUP( APIF_Import!$O195 &amp; APIF_Import!$J$1,Podesavanja!$AA$3:$AD$28, 4, 0)), "", VLOOKUP( APIF_Import!$C195, INDIRECT( "Lookup_" &amp; APIF_Import!$M195:$O195), VLOOKUP( APIF_Import!$O195 &amp; APIF_Import!$J$1,Podesavanja!$AA$3:$AD$28, 4, 0), 0))</f>
        <v/>
      </c>
      <c r="K195" s="230" t="str">
        <f ca="1">IF( ISNA( VLOOKUP( APIF_Import!$O195 &amp; APIF_Import!$K$1,Podesavanja!$AA$3:$AD$28, 4, 0)), "", VLOOKUP( APIF_Import!$C195, INDIRECT( "Lookup_" &amp; APIF_Import!$M195:$O195), VLOOKUP( APIF_Import!$O195 &amp; APIF_Import!$K$1,Podesavanja!$AA$3:$AD$28, 4, 0), 0))</f>
        <v/>
      </c>
      <c r="L195" s="230" t="str">
        <f ca="1">IF( ISNA( VLOOKUP( APIF_Import!$O195 &amp; APIF_Import!$L$1,Podesavanja!$AA$3:$AD$28, 4, 0)), "", VLOOKUP( APIF_Import!$C195, INDIRECT( "Lookup_" &amp; APIF_Import!$M195:$O195), VLOOKUP( APIF_Import!$O195 &amp; APIF_Import!$L$1,Podesavanja!$AA$3:$AD$28, 4, 0), 0))</f>
        <v/>
      </c>
      <c r="M195" s="230" t="str">
        <f ca="1">IF( ISNA( VLOOKUP( APIF_Import!$O195 &amp; APIF_Import!$M$1,Podesavanja!$AA$3:$AD$28, 4, 0)), "", VLOOKUP( APIF_Import!$C195, INDIRECT( "Lookup_" &amp; APIF_Import!$M195:$O195), VLOOKUP( APIF_Import!$O195 &amp; APIF_Import!$M$1,Podesavanja!$AA$3:$AD$28, 4, 0), 0))</f>
        <v/>
      </c>
      <c r="N195" s="8">
        <v>194</v>
      </c>
      <c r="O195" s="230" t="s">
        <v>2377</v>
      </c>
    </row>
    <row r="196" spans="2:15">
      <c r="B196" s="44">
        <f ca="1">VLOOKUP( APIF_Import!$O196, Podesavanja!$N$3:$Q$9, 4, 0)</f>
        <v>3</v>
      </c>
      <c r="C196" s="229">
        <f ca="1">VLOOKUP( APIF_Import!$N196, Aop!$A$2:$P$456, 4, 0)</f>
        <v>257</v>
      </c>
      <c r="D196" s="230" t="str">
        <f ca="1">IF( ISNA( VLOOKUP( APIF_Import!$O196 &amp; APIF_Import!$D$1,Podesavanja!$AA$3:$AD$28, 4, 0)), "", SUBSTITUTE( VALUE( VLOOKUP( APIF_Import!$C196, INDIRECT( "Lookup_" &amp; APIF_Import!$O196), VLOOKUP( APIF_Import!$O196 &amp; APIF_Import!$D$1,Podesavanja!$AA$3:$AD$28, 4, 0), 0)), ".", ","))</f>
        <v>0</v>
      </c>
      <c r="E196" s="230">
        <f ca="1">IF( ISNA( VLOOKUP( APIF_Import!$O196 &amp; APIF_Import!$E$1,Podesavanja!$AA$3:$AD$28, 4, 0)), "", VLOOKUP( APIF_Import!$C196, INDIRECT( "Lookup_" &amp; APIF_Import!$O196), VLOOKUP( APIF_Import!$O196 &amp; APIF_Import!$E$1,Podesavanja!$AA$3:$AD$28, 4, 0), 0))</f>
        <v>0</v>
      </c>
      <c r="F196" s="230" t="str">
        <f ca="1">IF( ISNA( VLOOKUP( APIF_Import!$O196 &amp; APIF_Import!$F$1,Podesavanja!$AA$3:$AD$28, 4, 0)), "", VLOOKUP( APIF_Import!$C196, INDIRECT( "Lookup_" &amp; APIF_Import!$O196), VLOOKUP( APIF_Import!$O196 &amp; APIF_Import!$F$1,Podesavanja!$AA$3:$AD$28, 4, 0), 0))</f>
        <v/>
      </c>
      <c r="G196" s="230" t="str">
        <f ca="1">IF( ISNA( VLOOKUP( APIF_Import!$O196 &amp; APIF_Import!$G$1,Podesavanja!$AA$3:$AD$28, 4, 0)), "", VLOOKUP( APIF_Import!$C196, INDIRECT( "Lookup_" &amp; APIF_Import!$O196), VLOOKUP( APIF_Import!$O196 &amp; APIF_Import!$G$1,Podesavanja!$AA$3:$AD$28, 4, 0), 0))</f>
        <v/>
      </c>
      <c r="H196" s="230" t="str">
        <f ca="1">IF( ISNA( VLOOKUP( APIF_Import!$O196 &amp; APIF_Import!$H$1,Podesavanja!$AA$3:$AD$28, 4, 0)), "", VLOOKUP( APIF_Import!$C196, INDIRECT( "Lookup_" &amp; APIF_Import!$O196), VLOOKUP( APIF_Import!$O196 &amp; APIF_Import!$H$1,Podesavanja!$AA$3:$AD$28, 4, 0), 0))</f>
        <v/>
      </c>
      <c r="I196" s="230" t="str">
        <f ca="1">IF( ISNA( VLOOKUP( APIF_Import!$O196 &amp; APIF_Import!$I$1,Podesavanja!$AA$3:$AD$28, 4, 0)), "", VLOOKUP( APIF_Import!$C196, INDIRECT( "Lookup_" &amp; APIF_Import!$M196:$O196), VLOOKUP( APIF_Import!$O196 &amp; APIF_Import!$I$1,Podesavanja!$AA$3:$AD$28, 4, 0), 0))</f>
        <v/>
      </c>
      <c r="J196" s="230" t="str">
        <f ca="1">IF( ISNA( VLOOKUP( APIF_Import!$O196 &amp; APIF_Import!$J$1,Podesavanja!$AA$3:$AD$28, 4, 0)), "", VLOOKUP( APIF_Import!$C196, INDIRECT( "Lookup_" &amp; APIF_Import!$M196:$O196), VLOOKUP( APIF_Import!$O196 &amp; APIF_Import!$J$1,Podesavanja!$AA$3:$AD$28, 4, 0), 0))</f>
        <v/>
      </c>
      <c r="K196" s="230" t="str">
        <f ca="1">IF( ISNA( VLOOKUP( APIF_Import!$O196 &amp; APIF_Import!$K$1,Podesavanja!$AA$3:$AD$28, 4, 0)), "", VLOOKUP( APIF_Import!$C196, INDIRECT( "Lookup_" &amp; APIF_Import!$M196:$O196), VLOOKUP( APIF_Import!$O196 &amp; APIF_Import!$K$1,Podesavanja!$AA$3:$AD$28, 4, 0), 0))</f>
        <v/>
      </c>
      <c r="L196" s="230" t="str">
        <f ca="1">IF( ISNA( VLOOKUP( APIF_Import!$O196 &amp; APIF_Import!$L$1,Podesavanja!$AA$3:$AD$28, 4, 0)), "", VLOOKUP( APIF_Import!$C196, INDIRECT( "Lookup_" &amp; APIF_Import!$M196:$O196), VLOOKUP( APIF_Import!$O196 &amp; APIF_Import!$L$1,Podesavanja!$AA$3:$AD$28, 4, 0), 0))</f>
        <v/>
      </c>
      <c r="M196" s="230" t="str">
        <f ca="1">IF( ISNA( VLOOKUP( APIF_Import!$O196 &amp; APIF_Import!$M$1,Podesavanja!$AA$3:$AD$28, 4, 0)), "", VLOOKUP( APIF_Import!$C196, INDIRECT( "Lookup_" &amp; APIF_Import!$M196:$O196), VLOOKUP( APIF_Import!$O196 &amp; APIF_Import!$M$1,Podesavanja!$AA$3:$AD$28, 4, 0), 0))</f>
        <v/>
      </c>
      <c r="N196" s="8">
        <v>195</v>
      </c>
      <c r="O196" s="230" t="s">
        <v>2377</v>
      </c>
    </row>
    <row r="197" spans="2:15">
      <c r="B197" s="44">
        <f ca="1">VLOOKUP( APIF_Import!$O197, Podesavanja!$N$3:$Q$9, 4, 0)</f>
        <v>3</v>
      </c>
      <c r="C197" s="229">
        <f ca="1">VLOOKUP( APIF_Import!$N197, Aop!$A$2:$P$456, 4, 0)</f>
        <v>258</v>
      </c>
      <c r="D197" s="230" t="str">
        <f ca="1">IF( ISNA( VLOOKUP( APIF_Import!$O197 &amp; APIF_Import!$D$1,Podesavanja!$AA$3:$AD$28, 4, 0)), "", SUBSTITUTE( VALUE( VLOOKUP( APIF_Import!$C197, INDIRECT( "Lookup_" &amp; APIF_Import!$O197), VLOOKUP( APIF_Import!$O197 &amp; APIF_Import!$D$1,Podesavanja!$AA$3:$AD$28, 4, 0), 0)), ".", ","))</f>
        <v>0</v>
      </c>
      <c r="E197" s="230">
        <f ca="1">IF( ISNA( VLOOKUP( APIF_Import!$O197 &amp; APIF_Import!$E$1,Podesavanja!$AA$3:$AD$28, 4, 0)), "", VLOOKUP( APIF_Import!$C197, INDIRECT( "Lookup_" &amp; APIF_Import!$O197), VLOOKUP( APIF_Import!$O197 &amp; APIF_Import!$E$1,Podesavanja!$AA$3:$AD$28, 4, 0), 0))</f>
        <v>0</v>
      </c>
      <c r="F197" s="230" t="str">
        <f ca="1">IF( ISNA( VLOOKUP( APIF_Import!$O197 &amp; APIF_Import!$F$1,Podesavanja!$AA$3:$AD$28, 4, 0)), "", VLOOKUP( APIF_Import!$C197, INDIRECT( "Lookup_" &amp; APIF_Import!$O197), VLOOKUP( APIF_Import!$O197 &amp; APIF_Import!$F$1,Podesavanja!$AA$3:$AD$28, 4, 0), 0))</f>
        <v/>
      </c>
      <c r="G197" s="230" t="str">
        <f ca="1">IF( ISNA( VLOOKUP( APIF_Import!$O197 &amp; APIF_Import!$G$1,Podesavanja!$AA$3:$AD$28, 4, 0)), "", VLOOKUP( APIF_Import!$C197, INDIRECT( "Lookup_" &amp; APIF_Import!$O197), VLOOKUP( APIF_Import!$O197 &amp; APIF_Import!$G$1,Podesavanja!$AA$3:$AD$28, 4, 0), 0))</f>
        <v/>
      </c>
      <c r="H197" s="230" t="str">
        <f ca="1">IF( ISNA( VLOOKUP( APIF_Import!$O197 &amp; APIF_Import!$H$1,Podesavanja!$AA$3:$AD$28, 4, 0)), "", VLOOKUP( APIF_Import!$C197, INDIRECT( "Lookup_" &amp; APIF_Import!$O197), VLOOKUP( APIF_Import!$O197 &amp; APIF_Import!$H$1,Podesavanja!$AA$3:$AD$28, 4, 0), 0))</f>
        <v/>
      </c>
      <c r="I197" s="230" t="str">
        <f ca="1">IF( ISNA( VLOOKUP( APIF_Import!$O197 &amp; APIF_Import!$I$1,Podesavanja!$AA$3:$AD$28, 4, 0)), "", VLOOKUP( APIF_Import!$C197, INDIRECT( "Lookup_" &amp; APIF_Import!$M197:$O197), VLOOKUP( APIF_Import!$O197 &amp; APIF_Import!$I$1,Podesavanja!$AA$3:$AD$28, 4, 0), 0))</f>
        <v/>
      </c>
      <c r="J197" s="230" t="str">
        <f ca="1">IF( ISNA( VLOOKUP( APIF_Import!$O197 &amp; APIF_Import!$J$1,Podesavanja!$AA$3:$AD$28, 4, 0)), "", VLOOKUP( APIF_Import!$C197, INDIRECT( "Lookup_" &amp; APIF_Import!$M197:$O197), VLOOKUP( APIF_Import!$O197 &amp; APIF_Import!$J$1,Podesavanja!$AA$3:$AD$28, 4, 0), 0))</f>
        <v/>
      </c>
      <c r="K197" s="230" t="str">
        <f ca="1">IF( ISNA( VLOOKUP( APIF_Import!$O197 &amp; APIF_Import!$K$1,Podesavanja!$AA$3:$AD$28, 4, 0)), "", VLOOKUP( APIF_Import!$C197, INDIRECT( "Lookup_" &amp; APIF_Import!$M197:$O197), VLOOKUP( APIF_Import!$O197 &amp; APIF_Import!$K$1,Podesavanja!$AA$3:$AD$28, 4, 0), 0))</f>
        <v/>
      </c>
      <c r="L197" s="230" t="str">
        <f ca="1">IF( ISNA( VLOOKUP( APIF_Import!$O197 &amp; APIF_Import!$L$1,Podesavanja!$AA$3:$AD$28, 4, 0)), "", VLOOKUP( APIF_Import!$C197, INDIRECT( "Lookup_" &amp; APIF_Import!$M197:$O197), VLOOKUP( APIF_Import!$O197 &amp; APIF_Import!$L$1,Podesavanja!$AA$3:$AD$28, 4, 0), 0))</f>
        <v/>
      </c>
      <c r="M197" s="230" t="str">
        <f ca="1">IF( ISNA( VLOOKUP( APIF_Import!$O197 &amp; APIF_Import!$M$1,Podesavanja!$AA$3:$AD$28, 4, 0)), "", VLOOKUP( APIF_Import!$C197, INDIRECT( "Lookup_" &amp; APIF_Import!$M197:$O197), VLOOKUP( APIF_Import!$O197 &amp; APIF_Import!$M$1,Podesavanja!$AA$3:$AD$28, 4, 0), 0))</f>
        <v/>
      </c>
      <c r="N197" s="8">
        <v>196</v>
      </c>
      <c r="O197" s="230" t="s">
        <v>2377</v>
      </c>
    </row>
    <row r="198" spans="2:15">
      <c r="B198" s="44">
        <f ca="1">VLOOKUP( APIF_Import!$O198, Podesavanja!$N$3:$Q$9, 4, 0)</f>
        <v>3</v>
      </c>
      <c r="C198" s="229">
        <f ca="1">VLOOKUP( APIF_Import!$N198, Aop!$A$2:$P$456, 4, 0)</f>
        <v>259</v>
      </c>
      <c r="D198" s="230" t="str">
        <f ca="1">IF( ISNA( VLOOKUP( APIF_Import!$O198 &amp; APIF_Import!$D$1,Podesavanja!$AA$3:$AD$28, 4, 0)), "", SUBSTITUTE( VALUE( VLOOKUP( APIF_Import!$C198, INDIRECT( "Lookup_" &amp; APIF_Import!$O198), VLOOKUP( APIF_Import!$O198 &amp; APIF_Import!$D$1,Podesavanja!$AA$3:$AD$28, 4, 0), 0)), ".", ","))</f>
        <v>503</v>
      </c>
      <c r="E198" s="230">
        <f ca="1">IF( ISNA( VLOOKUP( APIF_Import!$O198 &amp; APIF_Import!$E$1,Podesavanja!$AA$3:$AD$28, 4, 0)), "", VLOOKUP( APIF_Import!$C198, INDIRECT( "Lookup_" &amp; APIF_Import!$O198), VLOOKUP( APIF_Import!$O198 &amp; APIF_Import!$E$1,Podesavanja!$AA$3:$AD$28, 4, 0), 0))</f>
        <v>0</v>
      </c>
      <c r="F198" s="230" t="str">
        <f ca="1">IF( ISNA( VLOOKUP( APIF_Import!$O198 &amp; APIF_Import!$F$1,Podesavanja!$AA$3:$AD$28, 4, 0)), "", VLOOKUP( APIF_Import!$C198, INDIRECT( "Lookup_" &amp; APIF_Import!$O198), VLOOKUP( APIF_Import!$O198 &amp; APIF_Import!$F$1,Podesavanja!$AA$3:$AD$28, 4, 0), 0))</f>
        <v/>
      </c>
      <c r="G198" s="230" t="str">
        <f ca="1">IF( ISNA( VLOOKUP( APIF_Import!$O198 &amp; APIF_Import!$G$1,Podesavanja!$AA$3:$AD$28, 4, 0)), "", VLOOKUP( APIF_Import!$C198, INDIRECT( "Lookup_" &amp; APIF_Import!$O198), VLOOKUP( APIF_Import!$O198 &amp; APIF_Import!$G$1,Podesavanja!$AA$3:$AD$28, 4, 0), 0))</f>
        <v/>
      </c>
      <c r="H198" s="230" t="str">
        <f ca="1">IF( ISNA( VLOOKUP( APIF_Import!$O198 &amp; APIF_Import!$H$1,Podesavanja!$AA$3:$AD$28, 4, 0)), "", VLOOKUP( APIF_Import!$C198, INDIRECT( "Lookup_" &amp; APIF_Import!$O198), VLOOKUP( APIF_Import!$O198 &amp; APIF_Import!$H$1,Podesavanja!$AA$3:$AD$28, 4, 0), 0))</f>
        <v/>
      </c>
      <c r="I198" s="230" t="str">
        <f ca="1">IF( ISNA( VLOOKUP( APIF_Import!$O198 &amp; APIF_Import!$I$1,Podesavanja!$AA$3:$AD$28, 4, 0)), "", VLOOKUP( APIF_Import!$C198, INDIRECT( "Lookup_" &amp; APIF_Import!$M198:$O198), VLOOKUP( APIF_Import!$O198 &amp; APIF_Import!$I$1,Podesavanja!$AA$3:$AD$28, 4, 0), 0))</f>
        <v/>
      </c>
      <c r="J198" s="230" t="str">
        <f ca="1">IF( ISNA( VLOOKUP( APIF_Import!$O198 &amp; APIF_Import!$J$1,Podesavanja!$AA$3:$AD$28, 4, 0)), "", VLOOKUP( APIF_Import!$C198, INDIRECT( "Lookup_" &amp; APIF_Import!$M198:$O198), VLOOKUP( APIF_Import!$O198 &amp; APIF_Import!$J$1,Podesavanja!$AA$3:$AD$28, 4, 0), 0))</f>
        <v/>
      </c>
      <c r="K198" s="230" t="str">
        <f ca="1">IF( ISNA( VLOOKUP( APIF_Import!$O198 &amp; APIF_Import!$K$1,Podesavanja!$AA$3:$AD$28, 4, 0)), "", VLOOKUP( APIF_Import!$C198, INDIRECT( "Lookup_" &amp; APIF_Import!$M198:$O198), VLOOKUP( APIF_Import!$O198 &amp; APIF_Import!$K$1,Podesavanja!$AA$3:$AD$28, 4, 0), 0))</f>
        <v/>
      </c>
      <c r="L198" s="230" t="str">
        <f ca="1">IF( ISNA( VLOOKUP( APIF_Import!$O198 &amp; APIF_Import!$L$1,Podesavanja!$AA$3:$AD$28, 4, 0)), "", VLOOKUP( APIF_Import!$C198, INDIRECT( "Lookup_" &amp; APIF_Import!$M198:$O198), VLOOKUP( APIF_Import!$O198 &amp; APIF_Import!$L$1,Podesavanja!$AA$3:$AD$28, 4, 0), 0))</f>
        <v/>
      </c>
      <c r="M198" s="230" t="str">
        <f ca="1">IF( ISNA( VLOOKUP( APIF_Import!$O198 &amp; APIF_Import!$M$1,Podesavanja!$AA$3:$AD$28, 4, 0)), "", VLOOKUP( APIF_Import!$C198, INDIRECT( "Lookup_" &amp; APIF_Import!$M198:$O198), VLOOKUP( APIF_Import!$O198 &amp; APIF_Import!$M$1,Podesavanja!$AA$3:$AD$28, 4, 0), 0))</f>
        <v/>
      </c>
      <c r="N198" s="8">
        <v>197</v>
      </c>
      <c r="O198" s="230" t="s">
        <v>2377</v>
      </c>
    </row>
    <row r="199" spans="2:15">
      <c r="B199" s="44">
        <f ca="1">VLOOKUP( APIF_Import!$O199, Podesavanja!$N$3:$Q$9, 4, 0)</f>
        <v>3</v>
      </c>
      <c r="C199" s="229">
        <f ca="1">VLOOKUP( APIF_Import!$N199, Aop!$A$2:$P$456, 4, 0)</f>
        <v>260</v>
      </c>
      <c r="D199" s="230" t="str">
        <f ca="1">IF( ISNA( VLOOKUP( APIF_Import!$O199 &amp; APIF_Import!$D$1,Podesavanja!$AA$3:$AD$28, 4, 0)), "", SUBSTITUTE( VALUE( VLOOKUP( APIF_Import!$C199, INDIRECT( "Lookup_" &amp; APIF_Import!$O199), VLOOKUP( APIF_Import!$O199 &amp; APIF_Import!$D$1,Podesavanja!$AA$3:$AD$28, 4, 0), 0)), ".", ","))</f>
        <v>0</v>
      </c>
      <c r="E199" s="230">
        <f ca="1">IF( ISNA( VLOOKUP( APIF_Import!$O199 &amp; APIF_Import!$E$1,Podesavanja!$AA$3:$AD$28, 4, 0)), "", VLOOKUP( APIF_Import!$C199, INDIRECT( "Lookup_" &amp; APIF_Import!$O199), VLOOKUP( APIF_Import!$O199 &amp; APIF_Import!$E$1,Podesavanja!$AA$3:$AD$28, 4, 0), 0))</f>
        <v>0</v>
      </c>
      <c r="F199" s="230" t="str">
        <f ca="1">IF( ISNA( VLOOKUP( APIF_Import!$O199 &amp; APIF_Import!$F$1,Podesavanja!$AA$3:$AD$28, 4, 0)), "", VLOOKUP( APIF_Import!$C199, INDIRECT( "Lookup_" &amp; APIF_Import!$O199), VLOOKUP( APIF_Import!$O199 &amp; APIF_Import!$F$1,Podesavanja!$AA$3:$AD$28, 4, 0), 0))</f>
        <v/>
      </c>
      <c r="G199" s="230" t="str">
        <f ca="1">IF( ISNA( VLOOKUP( APIF_Import!$O199 &amp; APIF_Import!$G$1,Podesavanja!$AA$3:$AD$28, 4, 0)), "", VLOOKUP( APIF_Import!$C199, INDIRECT( "Lookup_" &amp; APIF_Import!$O199), VLOOKUP( APIF_Import!$O199 &amp; APIF_Import!$G$1,Podesavanja!$AA$3:$AD$28, 4, 0), 0))</f>
        <v/>
      </c>
      <c r="H199" s="230" t="str">
        <f ca="1">IF( ISNA( VLOOKUP( APIF_Import!$O199 &amp; APIF_Import!$H$1,Podesavanja!$AA$3:$AD$28, 4, 0)), "", VLOOKUP( APIF_Import!$C199, INDIRECT( "Lookup_" &amp; APIF_Import!$O199), VLOOKUP( APIF_Import!$O199 &amp; APIF_Import!$H$1,Podesavanja!$AA$3:$AD$28, 4, 0), 0))</f>
        <v/>
      </c>
      <c r="I199" s="230" t="str">
        <f ca="1">IF( ISNA( VLOOKUP( APIF_Import!$O199 &amp; APIF_Import!$I$1,Podesavanja!$AA$3:$AD$28, 4, 0)), "", VLOOKUP( APIF_Import!$C199, INDIRECT( "Lookup_" &amp; APIF_Import!$M199:$O199), VLOOKUP( APIF_Import!$O199 &amp; APIF_Import!$I$1,Podesavanja!$AA$3:$AD$28, 4, 0), 0))</f>
        <v/>
      </c>
      <c r="J199" s="230" t="str">
        <f ca="1">IF( ISNA( VLOOKUP( APIF_Import!$O199 &amp; APIF_Import!$J$1,Podesavanja!$AA$3:$AD$28, 4, 0)), "", VLOOKUP( APIF_Import!$C199, INDIRECT( "Lookup_" &amp; APIF_Import!$M199:$O199), VLOOKUP( APIF_Import!$O199 &amp; APIF_Import!$J$1,Podesavanja!$AA$3:$AD$28, 4, 0), 0))</f>
        <v/>
      </c>
      <c r="K199" s="230" t="str">
        <f ca="1">IF( ISNA( VLOOKUP( APIF_Import!$O199 &amp; APIF_Import!$K$1,Podesavanja!$AA$3:$AD$28, 4, 0)), "", VLOOKUP( APIF_Import!$C199, INDIRECT( "Lookup_" &amp; APIF_Import!$M199:$O199), VLOOKUP( APIF_Import!$O199 &amp; APIF_Import!$K$1,Podesavanja!$AA$3:$AD$28, 4, 0), 0))</f>
        <v/>
      </c>
      <c r="L199" s="230" t="str">
        <f ca="1">IF( ISNA( VLOOKUP( APIF_Import!$O199 &amp; APIF_Import!$L$1,Podesavanja!$AA$3:$AD$28, 4, 0)), "", VLOOKUP( APIF_Import!$C199, INDIRECT( "Lookup_" &amp; APIF_Import!$M199:$O199), VLOOKUP( APIF_Import!$O199 &amp; APIF_Import!$L$1,Podesavanja!$AA$3:$AD$28, 4, 0), 0))</f>
        <v/>
      </c>
      <c r="M199" s="230" t="str">
        <f ca="1">IF( ISNA( VLOOKUP( APIF_Import!$O199 &amp; APIF_Import!$M$1,Podesavanja!$AA$3:$AD$28, 4, 0)), "", VLOOKUP( APIF_Import!$C199, INDIRECT( "Lookup_" &amp; APIF_Import!$M199:$O199), VLOOKUP( APIF_Import!$O199 &amp; APIF_Import!$M$1,Podesavanja!$AA$3:$AD$28, 4, 0), 0))</f>
        <v/>
      </c>
      <c r="N199" s="8">
        <v>198</v>
      </c>
      <c r="O199" s="230" t="s">
        <v>2377</v>
      </c>
    </row>
    <row r="200" spans="2:15">
      <c r="B200" s="44">
        <f ca="1">VLOOKUP( APIF_Import!$O200, Podesavanja!$N$3:$Q$9, 4, 0)</f>
        <v>3</v>
      </c>
      <c r="C200" s="229">
        <f ca="1">VLOOKUP( APIF_Import!$N200, Aop!$A$2:$P$456, 4, 0)</f>
        <v>261</v>
      </c>
      <c r="D200" s="230" t="str">
        <f ca="1">IF( ISNA( VLOOKUP( APIF_Import!$O200 &amp; APIF_Import!$D$1,Podesavanja!$AA$3:$AD$28, 4, 0)), "", SUBSTITUTE( VALUE( VLOOKUP( APIF_Import!$C200, INDIRECT( "Lookup_" &amp; APIF_Import!$O200), VLOOKUP( APIF_Import!$O200 &amp; APIF_Import!$D$1,Podesavanja!$AA$3:$AD$28, 4, 0), 0)), ".", ","))</f>
        <v>185069</v>
      </c>
      <c r="E200" s="230">
        <f ca="1">IF( ISNA( VLOOKUP( APIF_Import!$O200 &amp; APIF_Import!$E$1,Podesavanja!$AA$3:$AD$28, 4, 0)), "", VLOOKUP( APIF_Import!$C200, INDIRECT( "Lookup_" &amp; APIF_Import!$O200), VLOOKUP( APIF_Import!$O200 &amp; APIF_Import!$E$1,Podesavanja!$AA$3:$AD$28, 4, 0), 0))</f>
        <v>19911</v>
      </c>
      <c r="F200" s="230" t="str">
        <f ca="1">IF( ISNA( VLOOKUP( APIF_Import!$O200 &amp; APIF_Import!$F$1,Podesavanja!$AA$3:$AD$28, 4, 0)), "", VLOOKUP( APIF_Import!$C200, INDIRECT( "Lookup_" &amp; APIF_Import!$O200), VLOOKUP( APIF_Import!$O200 &amp; APIF_Import!$F$1,Podesavanja!$AA$3:$AD$28, 4, 0), 0))</f>
        <v/>
      </c>
      <c r="G200" s="230" t="str">
        <f ca="1">IF( ISNA( VLOOKUP( APIF_Import!$O200 &amp; APIF_Import!$G$1,Podesavanja!$AA$3:$AD$28, 4, 0)), "", VLOOKUP( APIF_Import!$C200, INDIRECT( "Lookup_" &amp; APIF_Import!$O200), VLOOKUP( APIF_Import!$O200 &amp; APIF_Import!$G$1,Podesavanja!$AA$3:$AD$28, 4, 0), 0))</f>
        <v/>
      </c>
      <c r="H200" s="230" t="str">
        <f ca="1">IF( ISNA( VLOOKUP( APIF_Import!$O200 &amp; APIF_Import!$H$1,Podesavanja!$AA$3:$AD$28, 4, 0)), "", VLOOKUP( APIF_Import!$C200, INDIRECT( "Lookup_" &amp; APIF_Import!$O200), VLOOKUP( APIF_Import!$O200 &amp; APIF_Import!$H$1,Podesavanja!$AA$3:$AD$28, 4, 0), 0))</f>
        <v/>
      </c>
      <c r="I200" s="230" t="str">
        <f ca="1">IF( ISNA( VLOOKUP( APIF_Import!$O200 &amp; APIF_Import!$I$1,Podesavanja!$AA$3:$AD$28, 4, 0)), "", VLOOKUP( APIF_Import!$C200, INDIRECT( "Lookup_" &amp; APIF_Import!$M200:$O200), VLOOKUP( APIF_Import!$O200 &amp; APIF_Import!$I$1,Podesavanja!$AA$3:$AD$28, 4, 0), 0))</f>
        <v/>
      </c>
      <c r="J200" s="230" t="str">
        <f ca="1">IF( ISNA( VLOOKUP( APIF_Import!$O200 &amp; APIF_Import!$J$1,Podesavanja!$AA$3:$AD$28, 4, 0)), "", VLOOKUP( APIF_Import!$C200, INDIRECT( "Lookup_" &amp; APIF_Import!$M200:$O200), VLOOKUP( APIF_Import!$O200 &amp; APIF_Import!$J$1,Podesavanja!$AA$3:$AD$28, 4, 0), 0))</f>
        <v/>
      </c>
      <c r="K200" s="230" t="str">
        <f ca="1">IF( ISNA( VLOOKUP( APIF_Import!$O200 &amp; APIF_Import!$K$1,Podesavanja!$AA$3:$AD$28, 4, 0)), "", VLOOKUP( APIF_Import!$C200, INDIRECT( "Lookup_" &amp; APIF_Import!$M200:$O200), VLOOKUP( APIF_Import!$O200 &amp; APIF_Import!$K$1,Podesavanja!$AA$3:$AD$28, 4, 0), 0))</f>
        <v/>
      </c>
      <c r="L200" s="230" t="str">
        <f ca="1">IF( ISNA( VLOOKUP( APIF_Import!$O200 &amp; APIF_Import!$L$1,Podesavanja!$AA$3:$AD$28, 4, 0)), "", VLOOKUP( APIF_Import!$C200, INDIRECT( "Lookup_" &amp; APIF_Import!$M200:$O200), VLOOKUP( APIF_Import!$O200 &amp; APIF_Import!$L$1,Podesavanja!$AA$3:$AD$28, 4, 0), 0))</f>
        <v/>
      </c>
      <c r="M200" s="230" t="str">
        <f ca="1">IF( ISNA( VLOOKUP( APIF_Import!$O200 &amp; APIF_Import!$M$1,Podesavanja!$AA$3:$AD$28, 4, 0)), "", VLOOKUP( APIF_Import!$C200, INDIRECT( "Lookup_" &amp; APIF_Import!$M200:$O200), VLOOKUP( APIF_Import!$O200 &amp; APIF_Import!$M$1,Podesavanja!$AA$3:$AD$28, 4, 0), 0))</f>
        <v/>
      </c>
      <c r="N200" s="8">
        <v>199</v>
      </c>
      <c r="O200" s="230" t="s">
        <v>2377</v>
      </c>
    </row>
    <row r="201" spans="2:15">
      <c r="B201" s="44">
        <f ca="1">VLOOKUP( APIF_Import!$O201, Podesavanja!$N$3:$Q$9, 4, 0)</f>
        <v>3</v>
      </c>
      <c r="C201" s="229">
        <f ca="1">VLOOKUP( APIF_Import!$N201, Aop!$A$2:$P$456, 4, 0)</f>
        <v>262</v>
      </c>
      <c r="D201" s="230" t="str">
        <f ca="1">IF( ISNA( VLOOKUP( APIF_Import!$O201 &amp; APIF_Import!$D$1,Podesavanja!$AA$3:$AD$28, 4, 0)), "", SUBSTITUTE( VALUE( VLOOKUP( APIF_Import!$C201, INDIRECT( "Lookup_" &amp; APIF_Import!$O201), VLOOKUP( APIF_Import!$O201 &amp; APIF_Import!$D$1,Podesavanja!$AA$3:$AD$28, 4, 0), 0)), ".", ","))</f>
        <v>0</v>
      </c>
      <c r="E201" s="230">
        <f ca="1">IF( ISNA( VLOOKUP( APIF_Import!$O201 &amp; APIF_Import!$E$1,Podesavanja!$AA$3:$AD$28, 4, 0)), "", VLOOKUP( APIF_Import!$C201, INDIRECT( "Lookup_" &amp; APIF_Import!$O201), VLOOKUP( APIF_Import!$O201 &amp; APIF_Import!$E$1,Podesavanja!$AA$3:$AD$28, 4, 0), 0))</f>
        <v>0</v>
      </c>
      <c r="F201" s="230" t="str">
        <f ca="1">IF( ISNA( VLOOKUP( APIF_Import!$O201 &amp; APIF_Import!$F$1,Podesavanja!$AA$3:$AD$28, 4, 0)), "", VLOOKUP( APIF_Import!$C201, INDIRECT( "Lookup_" &amp; APIF_Import!$O201), VLOOKUP( APIF_Import!$O201 &amp; APIF_Import!$F$1,Podesavanja!$AA$3:$AD$28, 4, 0), 0))</f>
        <v/>
      </c>
      <c r="G201" s="230" t="str">
        <f ca="1">IF( ISNA( VLOOKUP( APIF_Import!$O201 &amp; APIF_Import!$G$1,Podesavanja!$AA$3:$AD$28, 4, 0)), "", VLOOKUP( APIF_Import!$C201, INDIRECT( "Lookup_" &amp; APIF_Import!$O201), VLOOKUP( APIF_Import!$O201 &amp; APIF_Import!$G$1,Podesavanja!$AA$3:$AD$28, 4, 0), 0))</f>
        <v/>
      </c>
      <c r="H201" s="230" t="str">
        <f ca="1">IF( ISNA( VLOOKUP( APIF_Import!$O201 &amp; APIF_Import!$H$1,Podesavanja!$AA$3:$AD$28, 4, 0)), "", VLOOKUP( APIF_Import!$C201, INDIRECT( "Lookup_" &amp; APIF_Import!$O201), VLOOKUP( APIF_Import!$O201 &amp; APIF_Import!$H$1,Podesavanja!$AA$3:$AD$28, 4, 0), 0))</f>
        <v/>
      </c>
      <c r="I201" s="230" t="str">
        <f ca="1">IF( ISNA( VLOOKUP( APIF_Import!$O201 &amp; APIF_Import!$I$1,Podesavanja!$AA$3:$AD$28, 4, 0)), "", VLOOKUP( APIF_Import!$C201, INDIRECT( "Lookup_" &amp; APIF_Import!$M201:$O201), VLOOKUP( APIF_Import!$O201 &amp; APIF_Import!$I$1,Podesavanja!$AA$3:$AD$28, 4, 0), 0))</f>
        <v/>
      </c>
      <c r="J201" s="230" t="str">
        <f ca="1">IF( ISNA( VLOOKUP( APIF_Import!$O201 &amp; APIF_Import!$J$1,Podesavanja!$AA$3:$AD$28, 4, 0)), "", VLOOKUP( APIF_Import!$C201, INDIRECT( "Lookup_" &amp; APIF_Import!$M201:$O201), VLOOKUP( APIF_Import!$O201 &amp; APIF_Import!$J$1,Podesavanja!$AA$3:$AD$28, 4, 0), 0))</f>
        <v/>
      </c>
      <c r="K201" s="230" t="str">
        <f ca="1">IF( ISNA( VLOOKUP( APIF_Import!$O201 &amp; APIF_Import!$K$1,Podesavanja!$AA$3:$AD$28, 4, 0)), "", VLOOKUP( APIF_Import!$C201, INDIRECT( "Lookup_" &amp; APIF_Import!$M201:$O201), VLOOKUP( APIF_Import!$O201 &amp; APIF_Import!$K$1,Podesavanja!$AA$3:$AD$28, 4, 0), 0))</f>
        <v/>
      </c>
      <c r="L201" s="230" t="str">
        <f ca="1">IF( ISNA( VLOOKUP( APIF_Import!$O201 &amp; APIF_Import!$L$1,Podesavanja!$AA$3:$AD$28, 4, 0)), "", VLOOKUP( APIF_Import!$C201, INDIRECT( "Lookup_" &amp; APIF_Import!$M201:$O201), VLOOKUP( APIF_Import!$O201 &amp; APIF_Import!$L$1,Podesavanja!$AA$3:$AD$28, 4, 0), 0))</f>
        <v/>
      </c>
      <c r="M201" s="230" t="str">
        <f ca="1">IF( ISNA( VLOOKUP( APIF_Import!$O201 &amp; APIF_Import!$M$1,Podesavanja!$AA$3:$AD$28, 4, 0)), "", VLOOKUP( APIF_Import!$C201, INDIRECT( "Lookup_" &amp; APIF_Import!$M201:$O201), VLOOKUP( APIF_Import!$O201 &amp; APIF_Import!$M$1,Podesavanja!$AA$3:$AD$28, 4, 0), 0))</f>
        <v/>
      </c>
      <c r="N201" s="8">
        <v>200</v>
      </c>
      <c r="O201" s="230" t="s">
        <v>2377</v>
      </c>
    </row>
    <row r="202" spans="2:15">
      <c r="B202" s="44">
        <f ca="1">VLOOKUP( APIF_Import!$O202, Podesavanja!$N$3:$Q$9, 4, 0)</f>
        <v>3</v>
      </c>
      <c r="C202" s="229">
        <f ca="1">VLOOKUP( APIF_Import!$N202, Aop!$A$2:$P$456, 4, 0)</f>
        <v>263</v>
      </c>
      <c r="D202" s="230" t="str">
        <f ca="1">IF( ISNA( VLOOKUP( APIF_Import!$O202 &amp; APIF_Import!$D$1,Podesavanja!$AA$3:$AD$28, 4, 0)), "", SUBSTITUTE( VALUE( VLOOKUP( APIF_Import!$C202, INDIRECT( "Lookup_" &amp; APIF_Import!$O202), VLOOKUP( APIF_Import!$O202 &amp; APIF_Import!$D$1,Podesavanja!$AA$3:$AD$28, 4, 0), 0)), ".", ","))</f>
        <v>0</v>
      </c>
      <c r="E202" s="230">
        <f ca="1">IF( ISNA( VLOOKUP( APIF_Import!$O202 &amp; APIF_Import!$E$1,Podesavanja!$AA$3:$AD$28, 4, 0)), "", VLOOKUP( APIF_Import!$C202, INDIRECT( "Lookup_" &amp; APIF_Import!$O202), VLOOKUP( APIF_Import!$O202 &amp; APIF_Import!$E$1,Podesavanja!$AA$3:$AD$28, 4, 0), 0))</f>
        <v>0</v>
      </c>
      <c r="F202" s="230" t="str">
        <f ca="1">IF( ISNA( VLOOKUP( APIF_Import!$O202 &amp; APIF_Import!$F$1,Podesavanja!$AA$3:$AD$28, 4, 0)), "", VLOOKUP( APIF_Import!$C202, INDIRECT( "Lookup_" &amp; APIF_Import!$O202), VLOOKUP( APIF_Import!$O202 &amp; APIF_Import!$F$1,Podesavanja!$AA$3:$AD$28, 4, 0), 0))</f>
        <v/>
      </c>
      <c r="G202" s="230" t="str">
        <f ca="1">IF( ISNA( VLOOKUP( APIF_Import!$O202 &amp; APIF_Import!$G$1,Podesavanja!$AA$3:$AD$28, 4, 0)), "", VLOOKUP( APIF_Import!$C202, INDIRECT( "Lookup_" &amp; APIF_Import!$O202), VLOOKUP( APIF_Import!$O202 &amp; APIF_Import!$G$1,Podesavanja!$AA$3:$AD$28, 4, 0), 0))</f>
        <v/>
      </c>
      <c r="H202" s="230" t="str">
        <f ca="1">IF( ISNA( VLOOKUP( APIF_Import!$O202 &amp; APIF_Import!$H$1,Podesavanja!$AA$3:$AD$28, 4, 0)), "", VLOOKUP( APIF_Import!$C202, INDIRECT( "Lookup_" &amp; APIF_Import!$O202), VLOOKUP( APIF_Import!$O202 &amp; APIF_Import!$H$1,Podesavanja!$AA$3:$AD$28, 4, 0), 0))</f>
        <v/>
      </c>
      <c r="I202" s="230" t="str">
        <f ca="1">IF( ISNA( VLOOKUP( APIF_Import!$O202 &amp; APIF_Import!$I$1,Podesavanja!$AA$3:$AD$28, 4, 0)), "", VLOOKUP( APIF_Import!$C202, INDIRECT( "Lookup_" &amp; APIF_Import!$M202:$O202), VLOOKUP( APIF_Import!$O202 &amp; APIF_Import!$I$1,Podesavanja!$AA$3:$AD$28, 4, 0), 0))</f>
        <v/>
      </c>
      <c r="J202" s="230" t="str">
        <f ca="1">IF( ISNA( VLOOKUP( APIF_Import!$O202 &amp; APIF_Import!$J$1,Podesavanja!$AA$3:$AD$28, 4, 0)), "", VLOOKUP( APIF_Import!$C202, INDIRECT( "Lookup_" &amp; APIF_Import!$M202:$O202), VLOOKUP( APIF_Import!$O202 &amp; APIF_Import!$J$1,Podesavanja!$AA$3:$AD$28, 4, 0), 0))</f>
        <v/>
      </c>
      <c r="K202" s="230" t="str">
        <f ca="1">IF( ISNA( VLOOKUP( APIF_Import!$O202 &amp; APIF_Import!$K$1,Podesavanja!$AA$3:$AD$28, 4, 0)), "", VLOOKUP( APIF_Import!$C202, INDIRECT( "Lookup_" &amp; APIF_Import!$M202:$O202), VLOOKUP( APIF_Import!$O202 &amp; APIF_Import!$K$1,Podesavanja!$AA$3:$AD$28, 4, 0), 0))</f>
        <v/>
      </c>
      <c r="L202" s="230" t="str">
        <f ca="1">IF( ISNA( VLOOKUP( APIF_Import!$O202 &amp; APIF_Import!$L$1,Podesavanja!$AA$3:$AD$28, 4, 0)), "", VLOOKUP( APIF_Import!$C202, INDIRECT( "Lookup_" &amp; APIF_Import!$M202:$O202), VLOOKUP( APIF_Import!$O202 &amp; APIF_Import!$L$1,Podesavanja!$AA$3:$AD$28, 4, 0), 0))</f>
        <v/>
      </c>
      <c r="M202" s="230" t="str">
        <f ca="1">IF( ISNA( VLOOKUP( APIF_Import!$O202 &amp; APIF_Import!$M$1,Podesavanja!$AA$3:$AD$28, 4, 0)), "", VLOOKUP( APIF_Import!$C202, INDIRECT( "Lookup_" &amp; APIF_Import!$M202:$O202), VLOOKUP( APIF_Import!$O202 &amp; APIF_Import!$M$1,Podesavanja!$AA$3:$AD$28, 4, 0), 0))</f>
        <v/>
      </c>
      <c r="N202" s="8">
        <v>201</v>
      </c>
      <c r="O202" s="230" t="s">
        <v>2377</v>
      </c>
    </row>
    <row r="203" spans="2:15">
      <c r="B203" s="44">
        <f ca="1">VLOOKUP( APIF_Import!$O203, Podesavanja!$N$3:$Q$9, 4, 0)</f>
        <v>3</v>
      </c>
      <c r="C203" s="229">
        <f ca="1">VLOOKUP( APIF_Import!$N203, Aop!$A$2:$P$456, 4, 0)</f>
        <v>264</v>
      </c>
      <c r="D203" s="230" t="str">
        <f ca="1">IF( ISNA( VLOOKUP( APIF_Import!$O203 &amp; APIF_Import!$D$1,Podesavanja!$AA$3:$AD$28, 4, 0)), "", SUBSTITUTE( VALUE( VLOOKUP( APIF_Import!$C203, INDIRECT( "Lookup_" &amp; APIF_Import!$O203), VLOOKUP( APIF_Import!$O203 &amp; APIF_Import!$D$1,Podesavanja!$AA$3:$AD$28, 4, 0), 0)), ".", ","))</f>
        <v>0</v>
      </c>
      <c r="E203" s="230">
        <f ca="1">IF( ISNA( VLOOKUP( APIF_Import!$O203 &amp; APIF_Import!$E$1,Podesavanja!$AA$3:$AD$28, 4, 0)), "", VLOOKUP( APIF_Import!$C203, INDIRECT( "Lookup_" &amp; APIF_Import!$O203), VLOOKUP( APIF_Import!$O203 &amp; APIF_Import!$E$1,Podesavanja!$AA$3:$AD$28, 4, 0), 0))</f>
        <v>0</v>
      </c>
      <c r="F203" s="230" t="str">
        <f ca="1">IF( ISNA( VLOOKUP( APIF_Import!$O203 &amp; APIF_Import!$F$1,Podesavanja!$AA$3:$AD$28, 4, 0)), "", VLOOKUP( APIF_Import!$C203, INDIRECT( "Lookup_" &amp; APIF_Import!$O203), VLOOKUP( APIF_Import!$O203 &amp; APIF_Import!$F$1,Podesavanja!$AA$3:$AD$28, 4, 0), 0))</f>
        <v/>
      </c>
      <c r="G203" s="230" t="str">
        <f ca="1">IF( ISNA( VLOOKUP( APIF_Import!$O203 &amp; APIF_Import!$G$1,Podesavanja!$AA$3:$AD$28, 4, 0)), "", VLOOKUP( APIF_Import!$C203, INDIRECT( "Lookup_" &amp; APIF_Import!$O203), VLOOKUP( APIF_Import!$O203 &amp; APIF_Import!$G$1,Podesavanja!$AA$3:$AD$28, 4, 0), 0))</f>
        <v/>
      </c>
      <c r="H203" s="230" t="str">
        <f ca="1">IF( ISNA( VLOOKUP( APIF_Import!$O203 &amp; APIF_Import!$H$1,Podesavanja!$AA$3:$AD$28, 4, 0)), "", VLOOKUP( APIF_Import!$C203, INDIRECT( "Lookup_" &amp; APIF_Import!$O203), VLOOKUP( APIF_Import!$O203 &amp; APIF_Import!$H$1,Podesavanja!$AA$3:$AD$28, 4, 0), 0))</f>
        <v/>
      </c>
      <c r="I203" s="230" t="str">
        <f ca="1">IF( ISNA( VLOOKUP( APIF_Import!$O203 &amp; APIF_Import!$I$1,Podesavanja!$AA$3:$AD$28, 4, 0)), "", VLOOKUP( APIF_Import!$C203, INDIRECT( "Lookup_" &amp; APIF_Import!$M203:$O203), VLOOKUP( APIF_Import!$O203 &amp; APIF_Import!$I$1,Podesavanja!$AA$3:$AD$28, 4, 0), 0))</f>
        <v/>
      </c>
      <c r="J203" s="230" t="str">
        <f ca="1">IF( ISNA( VLOOKUP( APIF_Import!$O203 &amp; APIF_Import!$J$1,Podesavanja!$AA$3:$AD$28, 4, 0)), "", VLOOKUP( APIF_Import!$C203, INDIRECT( "Lookup_" &amp; APIF_Import!$M203:$O203), VLOOKUP( APIF_Import!$O203 &amp; APIF_Import!$J$1,Podesavanja!$AA$3:$AD$28, 4, 0), 0))</f>
        <v/>
      </c>
      <c r="K203" s="230" t="str">
        <f ca="1">IF( ISNA( VLOOKUP( APIF_Import!$O203 &amp; APIF_Import!$K$1,Podesavanja!$AA$3:$AD$28, 4, 0)), "", VLOOKUP( APIF_Import!$C203, INDIRECT( "Lookup_" &amp; APIF_Import!$M203:$O203), VLOOKUP( APIF_Import!$O203 &amp; APIF_Import!$K$1,Podesavanja!$AA$3:$AD$28, 4, 0), 0))</f>
        <v/>
      </c>
      <c r="L203" s="230" t="str">
        <f ca="1">IF( ISNA( VLOOKUP( APIF_Import!$O203 &amp; APIF_Import!$L$1,Podesavanja!$AA$3:$AD$28, 4, 0)), "", VLOOKUP( APIF_Import!$C203, INDIRECT( "Lookup_" &amp; APIF_Import!$M203:$O203), VLOOKUP( APIF_Import!$O203 &amp; APIF_Import!$L$1,Podesavanja!$AA$3:$AD$28, 4, 0), 0))</f>
        <v/>
      </c>
      <c r="M203" s="230" t="str">
        <f ca="1">IF( ISNA( VLOOKUP( APIF_Import!$O203 &amp; APIF_Import!$M$1,Podesavanja!$AA$3:$AD$28, 4, 0)), "", VLOOKUP( APIF_Import!$C203, INDIRECT( "Lookup_" &amp; APIF_Import!$M203:$O203), VLOOKUP( APIF_Import!$O203 &amp; APIF_Import!$M$1,Podesavanja!$AA$3:$AD$28, 4, 0), 0))</f>
        <v/>
      </c>
      <c r="N203" s="8">
        <v>202</v>
      </c>
      <c r="O203" s="230" t="s">
        <v>2377</v>
      </c>
    </row>
    <row r="204" spans="2:15">
      <c r="B204" s="44">
        <f ca="1">VLOOKUP( APIF_Import!$O204, Podesavanja!$N$3:$Q$9, 4, 0)</f>
        <v>3</v>
      </c>
      <c r="C204" s="229">
        <f ca="1">VLOOKUP( APIF_Import!$N204, Aop!$A$2:$P$456, 4, 0)</f>
        <v>265</v>
      </c>
      <c r="D204" s="230" t="str">
        <f ca="1">IF( ISNA( VLOOKUP( APIF_Import!$O204 &amp; APIF_Import!$D$1,Podesavanja!$AA$3:$AD$28, 4, 0)), "", SUBSTITUTE( VALUE( VLOOKUP( APIF_Import!$C204, INDIRECT( "Lookup_" &amp; APIF_Import!$O204), VLOOKUP( APIF_Import!$O204 &amp; APIF_Import!$D$1,Podesavanja!$AA$3:$AD$28, 4, 0), 0)), ".", ","))</f>
        <v>0</v>
      </c>
      <c r="E204" s="230">
        <f ca="1">IF( ISNA( VLOOKUP( APIF_Import!$O204 &amp; APIF_Import!$E$1,Podesavanja!$AA$3:$AD$28, 4, 0)), "", VLOOKUP( APIF_Import!$C204, INDIRECT( "Lookup_" &amp; APIF_Import!$O204), VLOOKUP( APIF_Import!$O204 &amp; APIF_Import!$E$1,Podesavanja!$AA$3:$AD$28, 4, 0), 0))</f>
        <v>0</v>
      </c>
      <c r="F204" s="230" t="str">
        <f ca="1">IF( ISNA( VLOOKUP( APIF_Import!$O204 &amp; APIF_Import!$F$1,Podesavanja!$AA$3:$AD$28, 4, 0)), "", VLOOKUP( APIF_Import!$C204, INDIRECT( "Lookup_" &amp; APIF_Import!$O204), VLOOKUP( APIF_Import!$O204 &amp; APIF_Import!$F$1,Podesavanja!$AA$3:$AD$28, 4, 0), 0))</f>
        <v/>
      </c>
      <c r="G204" s="230" t="str">
        <f ca="1">IF( ISNA( VLOOKUP( APIF_Import!$O204 &amp; APIF_Import!$G$1,Podesavanja!$AA$3:$AD$28, 4, 0)), "", VLOOKUP( APIF_Import!$C204, INDIRECT( "Lookup_" &amp; APIF_Import!$O204), VLOOKUP( APIF_Import!$O204 &amp; APIF_Import!$G$1,Podesavanja!$AA$3:$AD$28, 4, 0), 0))</f>
        <v/>
      </c>
      <c r="H204" s="230" t="str">
        <f ca="1">IF( ISNA( VLOOKUP( APIF_Import!$O204 &amp; APIF_Import!$H$1,Podesavanja!$AA$3:$AD$28, 4, 0)), "", VLOOKUP( APIF_Import!$C204, INDIRECT( "Lookup_" &amp; APIF_Import!$O204), VLOOKUP( APIF_Import!$O204 &amp; APIF_Import!$H$1,Podesavanja!$AA$3:$AD$28, 4, 0), 0))</f>
        <v/>
      </c>
      <c r="I204" s="230" t="str">
        <f ca="1">IF( ISNA( VLOOKUP( APIF_Import!$O204 &amp; APIF_Import!$I$1,Podesavanja!$AA$3:$AD$28, 4, 0)), "", VLOOKUP( APIF_Import!$C204, INDIRECT( "Lookup_" &amp; APIF_Import!$M204:$O204), VLOOKUP( APIF_Import!$O204 &amp; APIF_Import!$I$1,Podesavanja!$AA$3:$AD$28, 4, 0), 0))</f>
        <v/>
      </c>
      <c r="J204" s="230" t="str">
        <f ca="1">IF( ISNA( VLOOKUP( APIF_Import!$O204 &amp; APIF_Import!$J$1,Podesavanja!$AA$3:$AD$28, 4, 0)), "", VLOOKUP( APIF_Import!$C204, INDIRECT( "Lookup_" &amp; APIF_Import!$M204:$O204), VLOOKUP( APIF_Import!$O204 &amp; APIF_Import!$J$1,Podesavanja!$AA$3:$AD$28, 4, 0), 0))</f>
        <v/>
      </c>
      <c r="K204" s="230" t="str">
        <f ca="1">IF( ISNA( VLOOKUP( APIF_Import!$O204 &amp; APIF_Import!$K$1,Podesavanja!$AA$3:$AD$28, 4, 0)), "", VLOOKUP( APIF_Import!$C204, INDIRECT( "Lookup_" &amp; APIF_Import!$M204:$O204), VLOOKUP( APIF_Import!$O204 &amp; APIF_Import!$K$1,Podesavanja!$AA$3:$AD$28, 4, 0), 0))</f>
        <v/>
      </c>
      <c r="L204" s="230" t="str">
        <f ca="1">IF( ISNA( VLOOKUP( APIF_Import!$O204 &amp; APIF_Import!$L$1,Podesavanja!$AA$3:$AD$28, 4, 0)), "", VLOOKUP( APIF_Import!$C204, INDIRECT( "Lookup_" &amp; APIF_Import!$M204:$O204), VLOOKUP( APIF_Import!$O204 &amp; APIF_Import!$L$1,Podesavanja!$AA$3:$AD$28, 4, 0), 0))</f>
        <v/>
      </c>
      <c r="M204" s="230" t="str">
        <f ca="1">IF( ISNA( VLOOKUP( APIF_Import!$O204 &amp; APIF_Import!$M$1,Podesavanja!$AA$3:$AD$28, 4, 0)), "", VLOOKUP( APIF_Import!$C204, INDIRECT( "Lookup_" &amp; APIF_Import!$M204:$O204), VLOOKUP( APIF_Import!$O204 &amp; APIF_Import!$M$1,Podesavanja!$AA$3:$AD$28, 4, 0), 0))</f>
        <v/>
      </c>
      <c r="N204" s="8">
        <v>203</v>
      </c>
      <c r="O204" s="49" t="s">
        <v>2377</v>
      </c>
    </row>
    <row r="205" spans="2:15">
      <c r="B205" s="44">
        <f ca="1">VLOOKUP( APIF_Import!$O205, Podesavanja!$N$3:$Q$9, 4, 0)</f>
        <v>3</v>
      </c>
      <c r="C205" s="229">
        <f ca="1">VLOOKUP( APIF_Import!$N205, Aop!$A$2:$P$456, 4, 0)</f>
        <v>266</v>
      </c>
      <c r="D205" s="230" t="str">
        <f ca="1">IF( ISNA( VLOOKUP( APIF_Import!$O205 &amp; APIF_Import!$D$1,Podesavanja!$AA$3:$AD$28, 4, 0)), "", SUBSTITUTE( VALUE( VLOOKUP( APIF_Import!$C205, INDIRECT( "Lookup_" &amp; APIF_Import!$O205), VLOOKUP( APIF_Import!$O205 &amp; APIF_Import!$D$1,Podesavanja!$AA$3:$AD$28, 4, 0), 0)), ".", ","))</f>
        <v>0</v>
      </c>
      <c r="E205" s="230">
        <f ca="1">IF( ISNA( VLOOKUP( APIF_Import!$O205 &amp; APIF_Import!$E$1,Podesavanja!$AA$3:$AD$28, 4, 0)), "", VLOOKUP( APIF_Import!$C205, INDIRECT( "Lookup_" &amp; APIF_Import!$O205), VLOOKUP( APIF_Import!$O205 &amp; APIF_Import!$E$1,Podesavanja!$AA$3:$AD$28, 4, 0), 0))</f>
        <v>0</v>
      </c>
      <c r="F205" s="230" t="str">
        <f ca="1">IF( ISNA( VLOOKUP( APIF_Import!$O205 &amp; APIF_Import!$F$1,Podesavanja!$AA$3:$AD$28, 4, 0)), "", VLOOKUP( APIF_Import!$C205, INDIRECT( "Lookup_" &amp; APIF_Import!$O205), VLOOKUP( APIF_Import!$O205 &amp; APIF_Import!$F$1,Podesavanja!$AA$3:$AD$28, 4, 0), 0))</f>
        <v/>
      </c>
      <c r="G205" s="230" t="str">
        <f ca="1">IF( ISNA( VLOOKUP( APIF_Import!$O205 &amp; APIF_Import!$G$1,Podesavanja!$AA$3:$AD$28, 4, 0)), "", VLOOKUP( APIF_Import!$C205, INDIRECT( "Lookup_" &amp; APIF_Import!$O205), VLOOKUP( APIF_Import!$O205 &amp; APIF_Import!$G$1,Podesavanja!$AA$3:$AD$28, 4, 0), 0))</f>
        <v/>
      </c>
      <c r="H205" s="230" t="str">
        <f ca="1">IF( ISNA( VLOOKUP( APIF_Import!$O205 &amp; APIF_Import!$H$1,Podesavanja!$AA$3:$AD$28, 4, 0)), "", VLOOKUP( APIF_Import!$C205, INDIRECT( "Lookup_" &amp; APIF_Import!$O205), VLOOKUP( APIF_Import!$O205 &amp; APIF_Import!$H$1,Podesavanja!$AA$3:$AD$28, 4, 0), 0))</f>
        <v/>
      </c>
      <c r="I205" s="230" t="str">
        <f ca="1">IF( ISNA( VLOOKUP( APIF_Import!$O205 &amp; APIF_Import!$I$1,Podesavanja!$AA$3:$AD$28, 4, 0)), "", VLOOKUP( APIF_Import!$C205, INDIRECT( "Lookup_" &amp; APIF_Import!$M205:$O205), VLOOKUP( APIF_Import!$O205 &amp; APIF_Import!$I$1,Podesavanja!$AA$3:$AD$28, 4, 0), 0))</f>
        <v/>
      </c>
      <c r="J205" s="230" t="str">
        <f ca="1">IF( ISNA( VLOOKUP( APIF_Import!$O205 &amp; APIF_Import!$J$1,Podesavanja!$AA$3:$AD$28, 4, 0)), "", VLOOKUP( APIF_Import!$C205, INDIRECT( "Lookup_" &amp; APIF_Import!$M205:$O205), VLOOKUP( APIF_Import!$O205 &amp; APIF_Import!$J$1,Podesavanja!$AA$3:$AD$28, 4, 0), 0))</f>
        <v/>
      </c>
      <c r="K205" s="230" t="str">
        <f ca="1">IF( ISNA( VLOOKUP( APIF_Import!$O205 &amp; APIF_Import!$K$1,Podesavanja!$AA$3:$AD$28, 4, 0)), "", VLOOKUP( APIF_Import!$C205, INDIRECT( "Lookup_" &amp; APIF_Import!$M205:$O205), VLOOKUP( APIF_Import!$O205 &amp; APIF_Import!$K$1,Podesavanja!$AA$3:$AD$28, 4, 0), 0))</f>
        <v/>
      </c>
      <c r="L205" s="230" t="str">
        <f ca="1">IF( ISNA( VLOOKUP( APIF_Import!$O205 &amp; APIF_Import!$L$1,Podesavanja!$AA$3:$AD$28, 4, 0)), "", VLOOKUP( APIF_Import!$C205, INDIRECT( "Lookup_" &amp; APIF_Import!$M205:$O205), VLOOKUP( APIF_Import!$O205 &amp; APIF_Import!$L$1,Podesavanja!$AA$3:$AD$28, 4, 0), 0))</f>
        <v/>
      </c>
      <c r="M205" s="230" t="str">
        <f ca="1">IF( ISNA( VLOOKUP( APIF_Import!$O205 &amp; APIF_Import!$M$1,Podesavanja!$AA$3:$AD$28, 4, 0)), "", VLOOKUP( APIF_Import!$C205, INDIRECT( "Lookup_" &amp; APIF_Import!$M205:$O205), VLOOKUP( APIF_Import!$O205 &amp; APIF_Import!$M$1,Podesavanja!$AA$3:$AD$28, 4, 0), 0))</f>
        <v/>
      </c>
      <c r="N205" s="8">
        <v>204</v>
      </c>
      <c r="O205" s="49" t="s">
        <v>2377</v>
      </c>
    </row>
    <row r="206" spans="2:15">
      <c r="B206" s="44">
        <f ca="1">VLOOKUP( APIF_Import!$O206, Podesavanja!$N$3:$Q$9, 4, 0)</f>
        <v>3</v>
      </c>
      <c r="C206" s="229">
        <f ca="1">VLOOKUP( APIF_Import!$N206, Aop!$A$2:$P$456, 4, 0)</f>
        <v>267</v>
      </c>
      <c r="D206" s="230" t="str">
        <f ca="1">IF( ISNA( VLOOKUP( APIF_Import!$O206 &amp; APIF_Import!$D$1,Podesavanja!$AA$3:$AD$28, 4, 0)), "", SUBSTITUTE( VALUE( VLOOKUP( APIF_Import!$C206, INDIRECT( "Lookup_" &amp; APIF_Import!$O206), VLOOKUP( APIF_Import!$O206 &amp; APIF_Import!$D$1,Podesavanja!$AA$3:$AD$28, 4, 0), 0)), ".", ","))</f>
        <v>0</v>
      </c>
      <c r="E206" s="230">
        <f ca="1">IF( ISNA( VLOOKUP( APIF_Import!$O206 &amp; APIF_Import!$E$1,Podesavanja!$AA$3:$AD$28, 4, 0)), "", VLOOKUP( APIF_Import!$C206, INDIRECT( "Lookup_" &amp; APIF_Import!$O206), VLOOKUP( APIF_Import!$O206 &amp; APIF_Import!$E$1,Podesavanja!$AA$3:$AD$28, 4, 0), 0))</f>
        <v>0</v>
      </c>
      <c r="F206" s="230" t="str">
        <f ca="1">IF( ISNA( VLOOKUP( APIF_Import!$O206 &amp; APIF_Import!$F$1,Podesavanja!$AA$3:$AD$28, 4, 0)), "", VLOOKUP( APIF_Import!$C206, INDIRECT( "Lookup_" &amp; APIF_Import!$O206), VLOOKUP( APIF_Import!$O206 &amp; APIF_Import!$F$1,Podesavanja!$AA$3:$AD$28, 4, 0), 0))</f>
        <v/>
      </c>
      <c r="G206" s="230" t="str">
        <f ca="1">IF( ISNA( VLOOKUP( APIF_Import!$O206 &amp; APIF_Import!$G$1,Podesavanja!$AA$3:$AD$28, 4, 0)), "", VLOOKUP( APIF_Import!$C206, INDIRECT( "Lookup_" &amp; APIF_Import!$O206), VLOOKUP( APIF_Import!$O206 &amp; APIF_Import!$G$1,Podesavanja!$AA$3:$AD$28, 4, 0), 0))</f>
        <v/>
      </c>
      <c r="H206" s="230" t="str">
        <f ca="1">IF( ISNA( VLOOKUP( APIF_Import!$O206 &amp; APIF_Import!$H$1,Podesavanja!$AA$3:$AD$28, 4, 0)), "", VLOOKUP( APIF_Import!$C206, INDIRECT( "Lookup_" &amp; APIF_Import!$O206), VLOOKUP( APIF_Import!$O206 &amp; APIF_Import!$H$1,Podesavanja!$AA$3:$AD$28, 4, 0), 0))</f>
        <v/>
      </c>
      <c r="I206" s="230" t="str">
        <f ca="1">IF( ISNA( VLOOKUP( APIF_Import!$O206 &amp; APIF_Import!$I$1,Podesavanja!$AA$3:$AD$28, 4, 0)), "", VLOOKUP( APIF_Import!$C206, INDIRECT( "Lookup_" &amp; APIF_Import!$M206:$O206), VLOOKUP( APIF_Import!$O206 &amp; APIF_Import!$I$1,Podesavanja!$AA$3:$AD$28, 4, 0), 0))</f>
        <v/>
      </c>
      <c r="J206" s="230" t="str">
        <f ca="1">IF( ISNA( VLOOKUP( APIF_Import!$O206 &amp; APIF_Import!$J$1,Podesavanja!$AA$3:$AD$28, 4, 0)), "", VLOOKUP( APIF_Import!$C206, INDIRECT( "Lookup_" &amp; APIF_Import!$M206:$O206), VLOOKUP( APIF_Import!$O206 &amp; APIF_Import!$J$1,Podesavanja!$AA$3:$AD$28, 4, 0), 0))</f>
        <v/>
      </c>
      <c r="K206" s="230" t="str">
        <f ca="1">IF( ISNA( VLOOKUP( APIF_Import!$O206 &amp; APIF_Import!$K$1,Podesavanja!$AA$3:$AD$28, 4, 0)), "", VLOOKUP( APIF_Import!$C206, INDIRECT( "Lookup_" &amp; APIF_Import!$M206:$O206), VLOOKUP( APIF_Import!$O206 &amp; APIF_Import!$K$1,Podesavanja!$AA$3:$AD$28, 4, 0), 0))</f>
        <v/>
      </c>
      <c r="L206" s="230" t="str">
        <f ca="1">IF( ISNA( VLOOKUP( APIF_Import!$O206 &amp; APIF_Import!$L$1,Podesavanja!$AA$3:$AD$28, 4, 0)), "", VLOOKUP( APIF_Import!$C206, INDIRECT( "Lookup_" &amp; APIF_Import!$M206:$O206), VLOOKUP( APIF_Import!$O206 &amp; APIF_Import!$L$1,Podesavanja!$AA$3:$AD$28, 4, 0), 0))</f>
        <v/>
      </c>
      <c r="M206" s="230" t="str">
        <f ca="1">IF( ISNA( VLOOKUP( APIF_Import!$O206 &amp; APIF_Import!$M$1,Podesavanja!$AA$3:$AD$28, 4, 0)), "", VLOOKUP( APIF_Import!$C206, INDIRECT( "Lookup_" &amp; APIF_Import!$M206:$O206), VLOOKUP( APIF_Import!$O206 &amp; APIF_Import!$M$1,Podesavanja!$AA$3:$AD$28, 4, 0), 0))</f>
        <v/>
      </c>
      <c r="N206" s="8">
        <v>205</v>
      </c>
      <c r="O206" s="49" t="s">
        <v>2377</v>
      </c>
    </row>
    <row r="207" spans="2:15">
      <c r="B207" s="44">
        <f ca="1">VLOOKUP( APIF_Import!$O207, Podesavanja!$N$3:$Q$9, 4, 0)</f>
        <v>3</v>
      </c>
      <c r="C207" s="229">
        <f ca="1">VLOOKUP( APIF_Import!$N207, Aop!$A$2:$P$456, 4, 0)</f>
        <v>268</v>
      </c>
      <c r="D207" s="230" t="str">
        <f ca="1">IF( ISNA( VLOOKUP( APIF_Import!$O207 &amp; APIF_Import!$D$1,Podesavanja!$AA$3:$AD$28, 4, 0)), "", SUBSTITUTE( VALUE( VLOOKUP( APIF_Import!$C207, INDIRECT( "Lookup_" &amp; APIF_Import!$O207), VLOOKUP( APIF_Import!$O207 &amp; APIF_Import!$D$1,Podesavanja!$AA$3:$AD$28, 4, 0), 0)), ".", ","))</f>
        <v>0</v>
      </c>
      <c r="E207" s="230">
        <f ca="1">IF( ISNA( VLOOKUP( APIF_Import!$O207 &amp; APIF_Import!$E$1,Podesavanja!$AA$3:$AD$28, 4, 0)), "", VLOOKUP( APIF_Import!$C207, INDIRECT( "Lookup_" &amp; APIF_Import!$O207), VLOOKUP( APIF_Import!$O207 &amp; APIF_Import!$E$1,Podesavanja!$AA$3:$AD$28, 4, 0), 0))</f>
        <v>0</v>
      </c>
      <c r="F207" s="230" t="str">
        <f ca="1">IF( ISNA( VLOOKUP( APIF_Import!$O207 &amp; APIF_Import!$F$1,Podesavanja!$AA$3:$AD$28, 4, 0)), "", VLOOKUP( APIF_Import!$C207, INDIRECT( "Lookup_" &amp; APIF_Import!$O207), VLOOKUP( APIF_Import!$O207 &amp; APIF_Import!$F$1,Podesavanja!$AA$3:$AD$28, 4, 0), 0))</f>
        <v/>
      </c>
      <c r="G207" s="230" t="str">
        <f ca="1">IF( ISNA( VLOOKUP( APIF_Import!$O207 &amp; APIF_Import!$G$1,Podesavanja!$AA$3:$AD$28, 4, 0)), "", VLOOKUP( APIF_Import!$C207, INDIRECT( "Lookup_" &amp; APIF_Import!$O207), VLOOKUP( APIF_Import!$O207 &amp; APIF_Import!$G$1,Podesavanja!$AA$3:$AD$28, 4, 0), 0))</f>
        <v/>
      </c>
      <c r="H207" s="230" t="str">
        <f ca="1">IF( ISNA( VLOOKUP( APIF_Import!$O207 &amp; APIF_Import!$H$1,Podesavanja!$AA$3:$AD$28, 4, 0)), "", VLOOKUP( APIF_Import!$C207, INDIRECT( "Lookup_" &amp; APIF_Import!$O207), VLOOKUP( APIF_Import!$O207 &amp; APIF_Import!$H$1,Podesavanja!$AA$3:$AD$28, 4, 0), 0))</f>
        <v/>
      </c>
      <c r="I207" s="230" t="str">
        <f ca="1">IF( ISNA( VLOOKUP( APIF_Import!$O207 &amp; APIF_Import!$I$1,Podesavanja!$AA$3:$AD$28, 4, 0)), "", VLOOKUP( APIF_Import!$C207, INDIRECT( "Lookup_" &amp; APIF_Import!$M207:$O207), VLOOKUP( APIF_Import!$O207 &amp; APIF_Import!$I$1,Podesavanja!$AA$3:$AD$28, 4, 0), 0))</f>
        <v/>
      </c>
      <c r="J207" s="230" t="str">
        <f ca="1">IF( ISNA( VLOOKUP( APIF_Import!$O207 &amp; APIF_Import!$J$1,Podesavanja!$AA$3:$AD$28, 4, 0)), "", VLOOKUP( APIF_Import!$C207, INDIRECT( "Lookup_" &amp; APIF_Import!$M207:$O207), VLOOKUP( APIF_Import!$O207 &amp; APIF_Import!$J$1,Podesavanja!$AA$3:$AD$28, 4, 0), 0))</f>
        <v/>
      </c>
      <c r="K207" s="230" t="str">
        <f ca="1">IF( ISNA( VLOOKUP( APIF_Import!$O207 &amp; APIF_Import!$K$1,Podesavanja!$AA$3:$AD$28, 4, 0)), "", VLOOKUP( APIF_Import!$C207, INDIRECT( "Lookup_" &amp; APIF_Import!$M207:$O207), VLOOKUP( APIF_Import!$O207 &amp; APIF_Import!$K$1,Podesavanja!$AA$3:$AD$28, 4, 0), 0))</f>
        <v/>
      </c>
      <c r="L207" s="230" t="str">
        <f ca="1">IF( ISNA( VLOOKUP( APIF_Import!$O207 &amp; APIF_Import!$L$1,Podesavanja!$AA$3:$AD$28, 4, 0)), "", VLOOKUP( APIF_Import!$C207, INDIRECT( "Lookup_" &amp; APIF_Import!$M207:$O207), VLOOKUP( APIF_Import!$O207 &amp; APIF_Import!$L$1,Podesavanja!$AA$3:$AD$28, 4, 0), 0))</f>
        <v/>
      </c>
      <c r="M207" s="230" t="str">
        <f ca="1">IF( ISNA( VLOOKUP( APIF_Import!$O207 &amp; APIF_Import!$M$1,Podesavanja!$AA$3:$AD$28, 4, 0)), "", VLOOKUP( APIF_Import!$C207, INDIRECT( "Lookup_" &amp; APIF_Import!$M207:$O207), VLOOKUP( APIF_Import!$O207 &amp; APIF_Import!$M$1,Podesavanja!$AA$3:$AD$28, 4, 0), 0))</f>
        <v/>
      </c>
      <c r="N207" s="8">
        <v>206</v>
      </c>
      <c r="O207" s="49" t="s">
        <v>2377</v>
      </c>
    </row>
    <row r="208" spans="2:15">
      <c r="B208" s="44">
        <f ca="1">VLOOKUP( APIF_Import!$O208, Podesavanja!$N$3:$Q$9, 4, 0)</f>
        <v>3</v>
      </c>
      <c r="C208" s="229">
        <f ca="1">VLOOKUP( APIF_Import!$N208, Aop!$A$2:$P$456, 4, 0)</f>
        <v>269</v>
      </c>
      <c r="D208" s="230" t="str">
        <f ca="1">IF( ISNA( VLOOKUP( APIF_Import!$O208 &amp; APIF_Import!$D$1,Podesavanja!$AA$3:$AD$28, 4, 0)), "", SUBSTITUTE( VALUE( VLOOKUP( APIF_Import!$C208, INDIRECT( "Lookup_" &amp; APIF_Import!$O208), VLOOKUP( APIF_Import!$O208 &amp; APIF_Import!$D$1,Podesavanja!$AA$3:$AD$28, 4, 0), 0)), ".", ","))</f>
        <v>0</v>
      </c>
      <c r="E208" s="230">
        <f ca="1">IF( ISNA( VLOOKUP( APIF_Import!$O208 &amp; APIF_Import!$E$1,Podesavanja!$AA$3:$AD$28, 4, 0)), "", VLOOKUP( APIF_Import!$C208, INDIRECT( "Lookup_" &amp; APIF_Import!$O208), VLOOKUP( APIF_Import!$O208 &amp; APIF_Import!$E$1,Podesavanja!$AA$3:$AD$28, 4, 0), 0))</f>
        <v>0</v>
      </c>
      <c r="F208" s="230" t="str">
        <f ca="1">IF( ISNA( VLOOKUP( APIF_Import!$O208 &amp; APIF_Import!$F$1,Podesavanja!$AA$3:$AD$28, 4, 0)), "", VLOOKUP( APIF_Import!$C208, INDIRECT( "Lookup_" &amp; APIF_Import!$O208), VLOOKUP( APIF_Import!$O208 &amp; APIF_Import!$F$1,Podesavanja!$AA$3:$AD$28, 4, 0), 0))</f>
        <v/>
      </c>
      <c r="G208" s="230" t="str">
        <f ca="1">IF( ISNA( VLOOKUP( APIF_Import!$O208 &amp; APIF_Import!$G$1,Podesavanja!$AA$3:$AD$28, 4, 0)), "", VLOOKUP( APIF_Import!$C208, INDIRECT( "Lookup_" &amp; APIF_Import!$O208), VLOOKUP( APIF_Import!$O208 &amp; APIF_Import!$G$1,Podesavanja!$AA$3:$AD$28, 4, 0), 0))</f>
        <v/>
      </c>
      <c r="H208" s="230" t="str">
        <f ca="1">IF( ISNA( VLOOKUP( APIF_Import!$O208 &amp; APIF_Import!$H$1,Podesavanja!$AA$3:$AD$28, 4, 0)), "", VLOOKUP( APIF_Import!$C208, INDIRECT( "Lookup_" &amp; APIF_Import!$O208), VLOOKUP( APIF_Import!$O208 &amp; APIF_Import!$H$1,Podesavanja!$AA$3:$AD$28, 4, 0), 0))</f>
        <v/>
      </c>
      <c r="I208" s="230" t="str">
        <f ca="1">IF( ISNA( VLOOKUP( APIF_Import!$O208 &amp; APIF_Import!$I$1,Podesavanja!$AA$3:$AD$28, 4, 0)), "", VLOOKUP( APIF_Import!$C208, INDIRECT( "Lookup_" &amp; APIF_Import!$M208:$O208), VLOOKUP( APIF_Import!$O208 &amp; APIF_Import!$I$1,Podesavanja!$AA$3:$AD$28, 4, 0), 0))</f>
        <v/>
      </c>
      <c r="J208" s="230" t="str">
        <f ca="1">IF( ISNA( VLOOKUP( APIF_Import!$O208 &amp; APIF_Import!$J$1,Podesavanja!$AA$3:$AD$28, 4, 0)), "", VLOOKUP( APIF_Import!$C208, INDIRECT( "Lookup_" &amp; APIF_Import!$M208:$O208), VLOOKUP( APIF_Import!$O208 &amp; APIF_Import!$J$1,Podesavanja!$AA$3:$AD$28, 4, 0), 0))</f>
        <v/>
      </c>
      <c r="K208" s="230" t="str">
        <f ca="1">IF( ISNA( VLOOKUP( APIF_Import!$O208 &amp; APIF_Import!$K$1,Podesavanja!$AA$3:$AD$28, 4, 0)), "", VLOOKUP( APIF_Import!$C208, INDIRECT( "Lookup_" &amp; APIF_Import!$M208:$O208), VLOOKUP( APIF_Import!$O208 &amp; APIF_Import!$K$1,Podesavanja!$AA$3:$AD$28, 4, 0), 0))</f>
        <v/>
      </c>
      <c r="L208" s="230" t="str">
        <f ca="1">IF( ISNA( VLOOKUP( APIF_Import!$O208 &amp; APIF_Import!$L$1,Podesavanja!$AA$3:$AD$28, 4, 0)), "", VLOOKUP( APIF_Import!$C208, INDIRECT( "Lookup_" &amp; APIF_Import!$M208:$O208), VLOOKUP( APIF_Import!$O208 &amp; APIF_Import!$L$1,Podesavanja!$AA$3:$AD$28, 4, 0), 0))</f>
        <v/>
      </c>
      <c r="M208" s="230" t="str">
        <f ca="1">IF( ISNA( VLOOKUP( APIF_Import!$O208 &amp; APIF_Import!$M$1,Podesavanja!$AA$3:$AD$28, 4, 0)), "", VLOOKUP( APIF_Import!$C208, INDIRECT( "Lookup_" &amp; APIF_Import!$M208:$O208), VLOOKUP( APIF_Import!$O208 &amp; APIF_Import!$M$1,Podesavanja!$AA$3:$AD$28, 4, 0), 0))</f>
        <v/>
      </c>
      <c r="N208" s="8">
        <v>207</v>
      </c>
      <c r="O208" s="49" t="s">
        <v>2377</v>
      </c>
    </row>
    <row r="209" spans="2:15">
      <c r="B209" s="44">
        <f ca="1">VLOOKUP( APIF_Import!$O209, Podesavanja!$N$3:$Q$9, 4, 0)</f>
        <v>3</v>
      </c>
      <c r="C209" s="229">
        <f ca="1">VLOOKUP( APIF_Import!$N209, Aop!$A$2:$P$456, 4, 0)</f>
        <v>270</v>
      </c>
      <c r="D209" s="230" t="str">
        <f ca="1">IF( ISNA( VLOOKUP( APIF_Import!$O209 &amp; APIF_Import!$D$1,Podesavanja!$AA$3:$AD$28, 4, 0)), "", SUBSTITUTE( VALUE( VLOOKUP( APIF_Import!$C209, INDIRECT( "Lookup_" &amp; APIF_Import!$O209), VLOOKUP( APIF_Import!$O209 &amp; APIF_Import!$D$1,Podesavanja!$AA$3:$AD$28, 4, 0), 0)), ".", ","))</f>
        <v>185069</v>
      </c>
      <c r="E209" s="230">
        <f ca="1">IF( ISNA( VLOOKUP( APIF_Import!$O209 &amp; APIF_Import!$E$1,Podesavanja!$AA$3:$AD$28, 4, 0)), "", VLOOKUP( APIF_Import!$C209, INDIRECT( "Lookup_" &amp; APIF_Import!$O209), VLOOKUP( APIF_Import!$O209 &amp; APIF_Import!$E$1,Podesavanja!$AA$3:$AD$28, 4, 0), 0))</f>
        <v>19911</v>
      </c>
      <c r="F209" s="230" t="str">
        <f ca="1">IF( ISNA( VLOOKUP( APIF_Import!$O209 &amp; APIF_Import!$F$1,Podesavanja!$AA$3:$AD$28, 4, 0)), "", VLOOKUP( APIF_Import!$C209, INDIRECT( "Lookup_" &amp; APIF_Import!$O209), VLOOKUP( APIF_Import!$O209 &amp; APIF_Import!$F$1,Podesavanja!$AA$3:$AD$28, 4, 0), 0))</f>
        <v/>
      </c>
      <c r="G209" s="230" t="str">
        <f ca="1">IF( ISNA( VLOOKUP( APIF_Import!$O209 &amp; APIF_Import!$G$1,Podesavanja!$AA$3:$AD$28, 4, 0)), "", VLOOKUP( APIF_Import!$C209, INDIRECT( "Lookup_" &amp; APIF_Import!$O209), VLOOKUP( APIF_Import!$O209 &amp; APIF_Import!$G$1,Podesavanja!$AA$3:$AD$28, 4, 0), 0))</f>
        <v/>
      </c>
      <c r="H209" s="230" t="str">
        <f ca="1">IF( ISNA( VLOOKUP( APIF_Import!$O209 &amp; APIF_Import!$H$1,Podesavanja!$AA$3:$AD$28, 4, 0)), "", VLOOKUP( APIF_Import!$C209, INDIRECT( "Lookup_" &amp; APIF_Import!$O209), VLOOKUP( APIF_Import!$O209 &amp; APIF_Import!$H$1,Podesavanja!$AA$3:$AD$28, 4, 0), 0))</f>
        <v/>
      </c>
      <c r="I209" s="230" t="str">
        <f ca="1">IF( ISNA( VLOOKUP( APIF_Import!$O209 &amp; APIF_Import!$I$1,Podesavanja!$AA$3:$AD$28, 4, 0)), "", VLOOKUP( APIF_Import!$C209, INDIRECT( "Lookup_" &amp; APIF_Import!$M209:$O209), VLOOKUP( APIF_Import!$O209 &amp; APIF_Import!$I$1,Podesavanja!$AA$3:$AD$28, 4, 0), 0))</f>
        <v/>
      </c>
      <c r="J209" s="230" t="str">
        <f ca="1">IF( ISNA( VLOOKUP( APIF_Import!$O209 &amp; APIF_Import!$J$1,Podesavanja!$AA$3:$AD$28, 4, 0)), "", VLOOKUP( APIF_Import!$C209, INDIRECT( "Lookup_" &amp; APIF_Import!$M209:$O209), VLOOKUP( APIF_Import!$O209 &amp; APIF_Import!$J$1,Podesavanja!$AA$3:$AD$28, 4, 0), 0))</f>
        <v/>
      </c>
      <c r="K209" s="230" t="str">
        <f ca="1">IF( ISNA( VLOOKUP( APIF_Import!$O209 &amp; APIF_Import!$K$1,Podesavanja!$AA$3:$AD$28, 4, 0)), "", VLOOKUP( APIF_Import!$C209, INDIRECT( "Lookup_" &amp; APIF_Import!$M209:$O209), VLOOKUP( APIF_Import!$O209 &amp; APIF_Import!$K$1,Podesavanja!$AA$3:$AD$28, 4, 0), 0))</f>
        <v/>
      </c>
      <c r="L209" s="230" t="str">
        <f ca="1">IF( ISNA( VLOOKUP( APIF_Import!$O209 &amp; APIF_Import!$L$1,Podesavanja!$AA$3:$AD$28, 4, 0)), "", VLOOKUP( APIF_Import!$C209, INDIRECT( "Lookup_" &amp; APIF_Import!$M209:$O209), VLOOKUP( APIF_Import!$O209 &amp; APIF_Import!$L$1,Podesavanja!$AA$3:$AD$28, 4, 0), 0))</f>
        <v/>
      </c>
      <c r="M209" s="230" t="str">
        <f ca="1">IF( ISNA( VLOOKUP( APIF_Import!$O209 &amp; APIF_Import!$M$1,Podesavanja!$AA$3:$AD$28, 4, 0)), "", VLOOKUP( APIF_Import!$C209, INDIRECT( "Lookup_" &amp; APIF_Import!$M209:$O209), VLOOKUP( APIF_Import!$O209 &amp; APIF_Import!$M$1,Podesavanja!$AA$3:$AD$28, 4, 0), 0))</f>
        <v/>
      </c>
      <c r="N209" s="8">
        <v>208</v>
      </c>
      <c r="O209" s="49" t="s">
        <v>2377</v>
      </c>
    </row>
    <row r="210" spans="2:15">
      <c r="B210" s="44">
        <f ca="1">VLOOKUP( APIF_Import!$O210, Podesavanja!$N$3:$Q$9, 4, 0)</f>
        <v>3</v>
      </c>
      <c r="C210" s="229">
        <f ca="1">VLOOKUP( APIF_Import!$N210, Aop!$A$2:$P$456, 4, 0)</f>
        <v>271</v>
      </c>
      <c r="D210" s="230" t="str">
        <f ca="1">IF( ISNA( VLOOKUP( APIF_Import!$O210 &amp; APIF_Import!$D$1,Podesavanja!$AA$3:$AD$28, 4, 0)), "", SUBSTITUTE( VALUE( VLOOKUP( APIF_Import!$C210, INDIRECT( "Lookup_" &amp; APIF_Import!$O210), VLOOKUP( APIF_Import!$O210 &amp; APIF_Import!$D$1,Podesavanja!$AA$3:$AD$28, 4, 0), 0)), ".", ","))</f>
        <v>0</v>
      </c>
      <c r="E210" s="230">
        <f ca="1">IF( ISNA( VLOOKUP( APIF_Import!$O210 &amp; APIF_Import!$E$1,Podesavanja!$AA$3:$AD$28, 4, 0)), "", VLOOKUP( APIF_Import!$C210, INDIRECT( "Lookup_" &amp; APIF_Import!$O210), VLOOKUP( APIF_Import!$O210 &amp; APIF_Import!$E$1,Podesavanja!$AA$3:$AD$28, 4, 0), 0))</f>
        <v>0</v>
      </c>
      <c r="F210" s="230" t="str">
        <f ca="1">IF( ISNA( VLOOKUP( APIF_Import!$O210 &amp; APIF_Import!$F$1,Podesavanja!$AA$3:$AD$28, 4, 0)), "", VLOOKUP( APIF_Import!$C210, INDIRECT( "Lookup_" &amp; APIF_Import!$O210), VLOOKUP( APIF_Import!$O210 &amp; APIF_Import!$F$1,Podesavanja!$AA$3:$AD$28, 4, 0), 0))</f>
        <v/>
      </c>
      <c r="G210" s="230" t="str">
        <f ca="1">IF( ISNA( VLOOKUP( APIF_Import!$O210 &amp; APIF_Import!$G$1,Podesavanja!$AA$3:$AD$28, 4, 0)), "", VLOOKUP( APIF_Import!$C210, INDIRECT( "Lookup_" &amp; APIF_Import!$O210), VLOOKUP( APIF_Import!$O210 &amp; APIF_Import!$G$1,Podesavanja!$AA$3:$AD$28, 4, 0), 0))</f>
        <v/>
      </c>
      <c r="H210" s="230" t="str">
        <f ca="1">IF( ISNA( VLOOKUP( APIF_Import!$O210 &amp; APIF_Import!$H$1,Podesavanja!$AA$3:$AD$28, 4, 0)), "", VLOOKUP( APIF_Import!$C210, INDIRECT( "Lookup_" &amp; APIF_Import!$O210), VLOOKUP( APIF_Import!$O210 &amp; APIF_Import!$H$1,Podesavanja!$AA$3:$AD$28, 4, 0), 0))</f>
        <v/>
      </c>
      <c r="I210" s="230" t="str">
        <f ca="1">IF( ISNA( VLOOKUP( APIF_Import!$O210 &amp; APIF_Import!$I$1,Podesavanja!$AA$3:$AD$28, 4, 0)), "", VLOOKUP( APIF_Import!$C210, INDIRECT( "Lookup_" &amp; APIF_Import!$M210:$O210), VLOOKUP( APIF_Import!$O210 &amp; APIF_Import!$I$1,Podesavanja!$AA$3:$AD$28, 4, 0), 0))</f>
        <v/>
      </c>
      <c r="J210" s="230" t="str">
        <f ca="1">IF( ISNA( VLOOKUP( APIF_Import!$O210 &amp; APIF_Import!$J$1,Podesavanja!$AA$3:$AD$28, 4, 0)), "", VLOOKUP( APIF_Import!$C210, INDIRECT( "Lookup_" &amp; APIF_Import!$M210:$O210), VLOOKUP( APIF_Import!$O210 &amp; APIF_Import!$J$1,Podesavanja!$AA$3:$AD$28, 4, 0), 0))</f>
        <v/>
      </c>
      <c r="K210" s="230" t="str">
        <f ca="1">IF( ISNA( VLOOKUP( APIF_Import!$O210 &amp; APIF_Import!$K$1,Podesavanja!$AA$3:$AD$28, 4, 0)), "", VLOOKUP( APIF_Import!$C210, INDIRECT( "Lookup_" &amp; APIF_Import!$M210:$O210), VLOOKUP( APIF_Import!$O210 &amp; APIF_Import!$K$1,Podesavanja!$AA$3:$AD$28, 4, 0), 0))</f>
        <v/>
      </c>
      <c r="L210" s="230" t="str">
        <f ca="1">IF( ISNA( VLOOKUP( APIF_Import!$O210 &amp; APIF_Import!$L$1,Podesavanja!$AA$3:$AD$28, 4, 0)), "", VLOOKUP( APIF_Import!$C210, INDIRECT( "Lookup_" &amp; APIF_Import!$M210:$O210), VLOOKUP( APIF_Import!$O210 &amp; APIF_Import!$L$1,Podesavanja!$AA$3:$AD$28, 4, 0), 0))</f>
        <v/>
      </c>
      <c r="M210" s="230" t="str">
        <f ca="1">IF( ISNA( VLOOKUP( APIF_Import!$O210 &amp; APIF_Import!$M$1,Podesavanja!$AA$3:$AD$28, 4, 0)), "", VLOOKUP( APIF_Import!$C210, INDIRECT( "Lookup_" &amp; APIF_Import!$M210:$O210), VLOOKUP( APIF_Import!$O210 &amp; APIF_Import!$M$1,Podesavanja!$AA$3:$AD$28, 4, 0), 0))</f>
        <v/>
      </c>
      <c r="N210" s="8">
        <v>209</v>
      </c>
      <c r="O210" s="49" t="s">
        <v>2377</v>
      </c>
    </row>
    <row r="211" spans="2:15">
      <c r="B211" s="44">
        <f ca="1">VLOOKUP( APIF_Import!$O211, Podesavanja!$N$3:$Q$9, 4, 0)</f>
        <v>3</v>
      </c>
      <c r="C211" s="229">
        <f ca="1">VLOOKUP( APIF_Import!$N211, Aop!$A$2:$P$456, 4, 0)</f>
        <v>272</v>
      </c>
      <c r="D211" s="230" t="str">
        <f ca="1">IF( ISNA( VLOOKUP( APIF_Import!$O211 &amp; APIF_Import!$D$1,Podesavanja!$AA$3:$AD$28, 4, 0)), "", SUBSTITUTE( VALUE( VLOOKUP( APIF_Import!$C211, INDIRECT( "Lookup_" &amp; APIF_Import!$O211), VLOOKUP( APIF_Import!$O211 &amp; APIF_Import!$D$1,Podesavanja!$AA$3:$AD$28, 4, 0), 0)), ".", ","))</f>
        <v>184566</v>
      </c>
      <c r="E211" s="230">
        <f ca="1">IF( ISNA( VLOOKUP( APIF_Import!$O211 &amp; APIF_Import!$E$1,Podesavanja!$AA$3:$AD$28, 4, 0)), "", VLOOKUP( APIF_Import!$C211, INDIRECT( "Lookup_" &amp; APIF_Import!$O211), VLOOKUP( APIF_Import!$O211 &amp; APIF_Import!$E$1,Podesavanja!$AA$3:$AD$28, 4, 0), 0))</f>
        <v>19911</v>
      </c>
      <c r="F211" s="230" t="str">
        <f ca="1">IF( ISNA( VLOOKUP( APIF_Import!$O211 &amp; APIF_Import!$F$1,Podesavanja!$AA$3:$AD$28, 4, 0)), "", VLOOKUP( APIF_Import!$C211, INDIRECT( "Lookup_" &amp; APIF_Import!$O211), VLOOKUP( APIF_Import!$O211 &amp; APIF_Import!$F$1,Podesavanja!$AA$3:$AD$28, 4, 0), 0))</f>
        <v/>
      </c>
      <c r="G211" s="230" t="str">
        <f ca="1">IF( ISNA( VLOOKUP( APIF_Import!$O211 &amp; APIF_Import!$G$1,Podesavanja!$AA$3:$AD$28, 4, 0)), "", VLOOKUP( APIF_Import!$C211, INDIRECT( "Lookup_" &amp; APIF_Import!$O211), VLOOKUP( APIF_Import!$O211 &amp; APIF_Import!$G$1,Podesavanja!$AA$3:$AD$28, 4, 0), 0))</f>
        <v/>
      </c>
      <c r="H211" s="230" t="str">
        <f ca="1">IF( ISNA( VLOOKUP( APIF_Import!$O211 &amp; APIF_Import!$H$1,Podesavanja!$AA$3:$AD$28, 4, 0)), "", VLOOKUP( APIF_Import!$C211, INDIRECT( "Lookup_" &amp; APIF_Import!$O211), VLOOKUP( APIF_Import!$O211 &amp; APIF_Import!$H$1,Podesavanja!$AA$3:$AD$28, 4, 0), 0))</f>
        <v/>
      </c>
      <c r="I211" s="230" t="str">
        <f ca="1">IF( ISNA( VLOOKUP( APIF_Import!$O211 &amp; APIF_Import!$I$1,Podesavanja!$AA$3:$AD$28, 4, 0)), "", VLOOKUP( APIF_Import!$C211, INDIRECT( "Lookup_" &amp; APIF_Import!$M211:$O211), VLOOKUP( APIF_Import!$O211 &amp; APIF_Import!$I$1,Podesavanja!$AA$3:$AD$28, 4, 0), 0))</f>
        <v/>
      </c>
      <c r="J211" s="230" t="str">
        <f ca="1">IF( ISNA( VLOOKUP( APIF_Import!$O211 &amp; APIF_Import!$J$1,Podesavanja!$AA$3:$AD$28, 4, 0)), "", VLOOKUP( APIF_Import!$C211, INDIRECT( "Lookup_" &amp; APIF_Import!$M211:$O211), VLOOKUP( APIF_Import!$O211 &amp; APIF_Import!$J$1,Podesavanja!$AA$3:$AD$28, 4, 0), 0))</f>
        <v/>
      </c>
      <c r="K211" s="230" t="str">
        <f ca="1">IF( ISNA( VLOOKUP( APIF_Import!$O211 &amp; APIF_Import!$K$1,Podesavanja!$AA$3:$AD$28, 4, 0)), "", VLOOKUP( APIF_Import!$C211, INDIRECT( "Lookup_" &amp; APIF_Import!$M211:$O211), VLOOKUP( APIF_Import!$O211 &amp; APIF_Import!$K$1,Podesavanja!$AA$3:$AD$28, 4, 0), 0))</f>
        <v/>
      </c>
      <c r="L211" s="230" t="str">
        <f ca="1">IF( ISNA( VLOOKUP( APIF_Import!$O211 &amp; APIF_Import!$L$1,Podesavanja!$AA$3:$AD$28, 4, 0)), "", VLOOKUP( APIF_Import!$C211, INDIRECT( "Lookup_" &amp; APIF_Import!$M211:$O211), VLOOKUP( APIF_Import!$O211 &amp; APIF_Import!$L$1,Podesavanja!$AA$3:$AD$28, 4, 0), 0))</f>
        <v/>
      </c>
      <c r="M211" s="230" t="str">
        <f ca="1">IF( ISNA( VLOOKUP( APIF_Import!$O211 &amp; APIF_Import!$M$1,Podesavanja!$AA$3:$AD$28, 4, 0)), "", VLOOKUP( APIF_Import!$C211, INDIRECT( "Lookup_" &amp; APIF_Import!$M211:$O211), VLOOKUP( APIF_Import!$O211 &amp; APIF_Import!$M$1,Podesavanja!$AA$3:$AD$28, 4, 0), 0))</f>
        <v/>
      </c>
      <c r="N211" s="8">
        <v>210</v>
      </c>
      <c r="O211" s="49" t="s">
        <v>2377</v>
      </c>
    </row>
    <row r="212" spans="2:15">
      <c r="B212" s="44">
        <f ca="1">VLOOKUP( APIF_Import!$O212, Podesavanja!$N$3:$Q$9, 4, 0)</f>
        <v>3</v>
      </c>
      <c r="C212" s="229">
        <f ca="1">VLOOKUP( APIF_Import!$N212, Aop!$A$2:$P$456, 4, 0)</f>
        <v>273</v>
      </c>
      <c r="D212" s="230" t="str">
        <f ca="1">IF( ISNA( VLOOKUP( APIF_Import!$O212 &amp; APIF_Import!$D$1,Podesavanja!$AA$3:$AD$28, 4, 0)), "", SUBSTITUTE( VALUE( VLOOKUP( APIF_Import!$C212, INDIRECT( "Lookup_" &amp; APIF_Import!$O212), VLOOKUP( APIF_Import!$O212 &amp; APIF_Import!$D$1,Podesavanja!$AA$3:$AD$28, 4, 0), 0)), ".", ","))</f>
        <v>11450</v>
      </c>
      <c r="E212" s="230">
        <f ca="1">IF( ISNA( VLOOKUP( APIF_Import!$O212 &amp; APIF_Import!$E$1,Podesavanja!$AA$3:$AD$28, 4, 0)), "", VLOOKUP( APIF_Import!$C212, INDIRECT( "Lookup_" &amp; APIF_Import!$O212), VLOOKUP( APIF_Import!$O212 &amp; APIF_Import!$E$1,Podesavanja!$AA$3:$AD$28, 4, 0), 0))</f>
        <v>0</v>
      </c>
      <c r="F212" s="230" t="str">
        <f ca="1">IF( ISNA( VLOOKUP( APIF_Import!$O212 &amp; APIF_Import!$F$1,Podesavanja!$AA$3:$AD$28, 4, 0)), "", VLOOKUP( APIF_Import!$C212, INDIRECT( "Lookup_" &amp; APIF_Import!$O212), VLOOKUP( APIF_Import!$O212 &amp; APIF_Import!$F$1,Podesavanja!$AA$3:$AD$28, 4, 0), 0))</f>
        <v/>
      </c>
      <c r="G212" s="230" t="str">
        <f ca="1">IF( ISNA( VLOOKUP( APIF_Import!$O212 &amp; APIF_Import!$G$1,Podesavanja!$AA$3:$AD$28, 4, 0)), "", VLOOKUP( APIF_Import!$C212, INDIRECT( "Lookup_" &amp; APIF_Import!$O212), VLOOKUP( APIF_Import!$O212 &amp; APIF_Import!$G$1,Podesavanja!$AA$3:$AD$28, 4, 0), 0))</f>
        <v/>
      </c>
      <c r="H212" s="230" t="str">
        <f ca="1">IF( ISNA( VLOOKUP( APIF_Import!$O212 &amp; APIF_Import!$H$1,Podesavanja!$AA$3:$AD$28, 4, 0)), "", VLOOKUP( APIF_Import!$C212, INDIRECT( "Lookup_" &amp; APIF_Import!$O212), VLOOKUP( APIF_Import!$O212 &amp; APIF_Import!$H$1,Podesavanja!$AA$3:$AD$28, 4, 0), 0))</f>
        <v/>
      </c>
      <c r="I212" s="230" t="str">
        <f ca="1">IF( ISNA( VLOOKUP( APIF_Import!$O212 &amp; APIF_Import!$I$1,Podesavanja!$AA$3:$AD$28, 4, 0)), "", VLOOKUP( APIF_Import!$C212, INDIRECT( "Lookup_" &amp; APIF_Import!$M212:$O212), VLOOKUP( APIF_Import!$O212 &amp; APIF_Import!$I$1,Podesavanja!$AA$3:$AD$28, 4, 0), 0))</f>
        <v/>
      </c>
      <c r="J212" s="230" t="str">
        <f ca="1">IF( ISNA( VLOOKUP( APIF_Import!$O212 &amp; APIF_Import!$J$1,Podesavanja!$AA$3:$AD$28, 4, 0)), "", VLOOKUP( APIF_Import!$C212, INDIRECT( "Lookup_" &amp; APIF_Import!$M212:$O212), VLOOKUP( APIF_Import!$O212 &amp; APIF_Import!$J$1,Podesavanja!$AA$3:$AD$28, 4, 0), 0))</f>
        <v/>
      </c>
      <c r="K212" s="230" t="str">
        <f ca="1">IF( ISNA( VLOOKUP( APIF_Import!$O212 &amp; APIF_Import!$K$1,Podesavanja!$AA$3:$AD$28, 4, 0)), "", VLOOKUP( APIF_Import!$C212, INDIRECT( "Lookup_" &amp; APIF_Import!$M212:$O212), VLOOKUP( APIF_Import!$O212 &amp; APIF_Import!$K$1,Podesavanja!$AA$3:$AD$28, 4, 0), 0))</f>
        <v/>
      </c>
      <c r="L212" s="230" t="str">
        <f ca="1">IF( ISNA( VLOOKUP( APIF_Import!$O212 &amp; APIF_Import!$L$1,Podesavanja!$AA$3:$AD$28, 4, 0)), "", VLOOKUP( APIF_Import!$C212, INDIRECT( "Lookup_" &amp; APIF_Import!$M212:$O212), VLOOKUP( APIF_Import!$O212 &amp; APIF_Import!$L$1,Podesavanja!$AA$3:$AD$28, 4, 0), 0))</f>
        <v/>
      </c>
      <c r="M212" s="230" t="str">
        <f ca="1">IF( ISNA( VLOOKUP( APIF_Import!$O212 &amp; APIF_Import!$M$1,Podesavanja!$AA$3:$AD$28, 4, 0)), "", VLOOKUP( APIF_Import!$C212, INDIRECT( "Lookup_" &amp; APIF_Import!$M212:$O212), VLOOKUP( APIF_Import!$O212 &amp; APIF_Import!$M$1,Podesavanja!$AA$3:$AD$28, 4, 0), 0))</f>
        <v/>
      </c>
      <c r="N212" s="8">
        <v>211</v>
      </c>
      <c r="O212" s="49" t="s">
        <v>2377</v>
      </c>
    </row>
    <row r="213" spans="2:15">
      <c r="B213" s="44">
        <f ca="1">VLOOKUP( APIF_Import!$O213, Podesavanja!$N$3:$Q$9, 4, 0)</f>
        <v>3</v>
      </c>
      <c r="C213" s="229">
        <f ca="1">VLOOKUP( APIF_Import!$N213, Aop!$A$2:$P$456, 4, 0)</f>
        <v>274</v>
      </c>
      <c r="D213" s="230" t="str">
        <f ca="1">IF( ISNA( VLOOKUP( APIF_Import!$O213 &amp; APIF_Import!$D$1,Podesavanja!$AA$3:$AD$28, 4, 0)), "", SUBSTITUTE( VALUE( VLOOKUP( APIF_Import!$C213, INDIRECT( "Lookup_" &amp; APIF_Import!$O213), VLOOKUP( APIF_Import!$O213 &amp; APIF_Import!$D$1,Podesavanja!$AA$3:$AD$28, 4, 0), 0)), ".", ","))</f>
        <v>11450</v>
      </c>
      <c r="E213" s="230">
        <f ca="1">IF( ISNA( VLOOKUP( APIF_Import!$O213 &amp; APIF_Import!$E$1,Podesavanja!$AA$3:$AD$28, 4, 0)), "", VLOOKUP( APIF_Import!$C213, INDIRECT( "Lookup_" &amp; APIF_Import!$O213), VLOOKUP( APIF_Import!$O213 &amp; APIF_Import!$E$1,Podesavanja!$AA$3:$AD$28, 4, 0), 0))</f>
        <v>0</v>
      </c>
      <c r="F213" s="230" t="str">
        <f ca="1">IF( ISNA( VLOOKUP( APIF_Import!$O213 &amp; APIF_Import!$F$1,Podesavanja!$AA$3:$AD$28, 4, 0)), "", VLOOKUP( APIF_Import!$C213, INDIRECT( "Lookup_" &amp; APIF_Import!$O213), VLOOKUP( APIF_Import!$O213 &amp; APIF_Import!$F$1,Podesavanja!$AA$3:$AD$28, 4, 0), 0))</f>
        <v/>
      </c>
      <c r="G213" s="230" t="str">
        <f ca="1">IF( ISNA( VLOOKUP( APIF_Import!$O213 &amp; APIF_Import!$G$1,Podesavanja!$AA$3:$AD$28, 4, 0)), "", VLOOKUP( APIF_Import!$C213, INDIRECT( "Lookup_" &amp; APIF_Import!$O213), VLOOKUP( APIF_Import!$O213 &amp; APIF_Import!$G$1,Podesavanja!$AA$3:$AD$28, 4, 0), 0))</f>
        <v/>
      </c>
      <c r="H213" s="230" t="str">
        <f ca="1">IF( ISNA( VLOOKUP( APIF_Import!$O213 &amp; APIF_Import!$H$1,Podesavanja!$AA$3:$AD$28, 4, 0)), "", VLOOKUP( APIF_Import!$C213, INDIRECT( "Lookup_" &amp; APIF_Import!$O213), VLOOKUP( APIF_Import!$O213 &amp; APIF_Import!$H$1,Podesavanja!$AA$3:$AD$28, 4, 0), 0))</f>
        <v/>
      </c>
      <c r="I213" s="230" t="str">
        <f ca="1">IF( ISNA( VLOOKUP( APIF_Import!$O213 &amp; APIF_Import!$I$1,Podesavanja!$AA$3:$AD$28, 4, 0)), "", VLOOKUP( APIF_Import!$C213, INDIRECT( "Lookup_" &amp; APIF_Import!$M213:$O213), VLOOKUP( APIF_Import!$O213 &amp; APIF_Import!$I$1,Podesavanja!$AA$3:$AD$28, 4, 0), 0))</f>
        <v/>
      </c>
      <c r="J213" s="230" t="str">
        <f ca="1">IF( ISNA( VLOOKUP( APIF_Import!$O213 &amp; APIF_Import!$J$1,Podesavanja!$AA$3:$AD$28, 4, 0)), "", VLOOKUP( APIF_Import!$C213, INDIRECT( "Lookup_" &amp; APIF_Import!$M213:$O213), VLOOKUP( APIF_Import!$O213 &amp; APIF_Import!$J$1,Podesavanja!$AA$3:$AD$28, 4, 0), 0))</f>
        <v/>
      </c>
      <c r="K213" s="230" t="str">
        <f ca="1">IF( ISNA( VLOOKUP( APIF_Import!$O213 &amp; APIF_Import!$K$1,Podesavanja!$AA$3:$AD$28, 4, 0)), "", VLOOKUP( APIF_Import!$C213, INDIRECT( "Lookup_" &amp; APIF_Import!$M213:$O213), VLOOKUP( APIF_Import!$O213 &amp; APIF_Import!$K$1,Podesavanja!$AA$3:$AD$28, 4, 0), 0))</f>
        <v/>
      </c>
      <c r="L213" s="230" t="str">
        <f ca="1">IF( ISNA( VLOOKUP( APIF_Import!$O213 &amp; APIF_Import!$L$1,Podesavanja!$AA$3:$AD$28, 4, 0)), "", VLOOKUP( APIF_Import!$C213, INDIRECT( "Lookup_" &amp; APIF_Import!$M213:$O213), VLOOKUP( APIF_Import!$O213 &amp; APIF_Import!$L$1,Podesavanja!$AA$3:$AD$28, 4, 0), 0))</f>
        <v/>
      </c>
      <c r="M213" s="230" t="str">
        <f ca="1">IF( ISNA( VLOOKUP( APIF_Import!$O213 &amp; APIF_Import!$M$1,Podesavanja!$AA$3:$AD$28, 4, 0)), "", VLOOKUP( APIF_Import!$C213, INDIRECT( "Lookup_" &amp; APIF_Import!$M213:$O213), VLOOKUP( APIF_Import!$O213 &amp; APIF_Import!$M$1,Podesavanja!$AA$3:$AD$28, 4, 0), 0))</f>
        <v/>
      </c>
      <c r="N213" s="8">
        <v>212</v>
      </c>
      <c r="O213" s="49" t="s">
        <v>2377</v>
      </c>
    </row>
    <row r="214" spans="2:15">
      <c r="B214" s="44">
        <f ca="1">VLOOKUP( APIF_Import!$O214, Podesavanja!$N$3:$Q$9, 4, 0)</f>
        <v>3</v>
      </c>
      <c r="C214" s="229">
        <f ca="1">VLOOKUP( APIF_Import!$N214, Aop!$A$2:$P$456, 4, 0)</f>
        <v>275</v>
      </c>
      <c r="D214" s="230" t="str">
        <f ca="1">IF( ISNA( VLOOKUP( APIF_Import!$O214 &amp; APIF_Import!$D$1,Podesavanja!$AA$3:$AD$28, 4, 0)), "", SUBSTITUTE( VALUE( VLOOKUP( APIF_Import!$C214, INDIRECT( "Lookup_" &amp; APIF_Import!$O214), VLOOKUP( APIF_Import!$O214 &amp; APIF_Import!$D$1,Podesavanja!$AA$3:$AD$28, 4, 0), 0)), ".", ","))</f>
        <v>0</v>
      </c>
      <c r="E214" s="230">
        <f ca="1">IF( ISNA( VLOOKUP( APIF_Import!$O214 &amp; APIF_Import!$E$1,Podesavanja!$AA$3:$AD$28, 4, 0)), "", VLOOKUP( APIF_Import!$C214, INDIRECT( "Lookup_" &amp; APIF_Import!$O214), VLOOKUP( APIF_Import!$O214 &amp; APIF_Import!$E$1,Podesavanja!$AA$3:$AD$28, 4, 0), 0))</f>
        <v>0</v>
      </c>
      <c r="F214" s="230" t="str">
        <f ca="1">IF( ISNA( VLOOKUP( APIF_Import!$O214 &amp; APIF_Import!$F$1,Podesavanja!$AA$3:$AD$28, 4, 0)), "", VLOOKUP( APIF_Import!$C214, INDIRECT( "Lookup_" &amp; APIF_Import!$O214), VLOOKUP( APIF_Import!$O214 &amp; APIF_Import!$F$1,Podesavanja!$AA$3:$AD$28, 4, 0), 0))</f>
        <v/>
      </c>
      <c r="G214" s="230" t="str">
        <f ca="1">IF( ISNA( VLOOKUP( APIF_Import!$O214 &amp; APIF_Import!$G$1,Podesavanja!$AA$3:$AD$28, 4, 0)), "", VLOOKUP( APIF_Import!$C214, INDIRECT( "Lookup_" &amp; APIF_Import!$O214), VLOOKUP( APIF_Import!$O214 &amp; APIF_Import!$G$1,Podesavanja!$AA$3:$AD$28, 4, 0), 0))</f>
        <v/>
      </c>
      <c r="H214" s="230" t="str">
        <f ca="1">IF( ISNA( VLOOKUP( APIF_Import!$O214 &amp; APIF_Import!$H$1,Podesavanja!$AA$3:$AD$28, 4, 0)), "", VLOOKUP( APIF_Import!$C214, INDIRECT( "Lookup_" &amp; APIF_Import!$O214), VLOOKUP( APIF_Import!$O214 &amp; APIF_Import!$H$1,Podesavanja!$AA$3:$AD$28, 4, 0), 0))</f>
        <v/>
      </c>
      <c r="I214" s="230" t="str">
        <f ca="1">IF( ISNA( VLOOKUP( APIF_Import!$O214 &amp; APIF_Import!$I$1,Podesavanja!$AA$3:$AD$28, 4, 0)), "", VLOOKUP( APIF_Import!$C214, INDIRECT( "Lookup_" &amp; APIF_Import!$M214:$O214), VLOOKUP( APIF_Import!$O214 &amp; APIF_Import!$I$1,Podesavanja!$AA$3:$AD$28, 4, 0), 0))</f>
        <v/>
      </c>
      <c r="J214" s="230" t="str">
        <f ca="1">IF( ISNA( VLOOKUP( APIF_Import!$O214 &amp; APIF_Import!$J$1,Podesavanja!$AA$3:$AD$28, 4, 0)), "", VLOOKUP( APIF_Import!$C214, INDIRECT( "Lookup_" &amp; APIF_Import!$M214:$O214), VLOOKUP( APIF_Import!$O214 &amp; APIF_Import!$J$1,Podesavanja!$AA$3:$AD$28, 4, 0), 0))</f>
        <v/>
      </c>
      <c r="K214" s="230" t="str">
        <f ca="1">IF( ISNA( VLOOKUP( APIF_Import!$O214 &amp; APIF_Import!$K$1,Podesavanja!$AA$3:$AD$28, 4, 0)), "", VLOOKUP( APIF_Import!$C214, INDIRECT( "Lookup_" &amp; APIF_Import!$M214:$O214), VLOOKUP( APIF_Import!$O214 &amp; APIF_Import!$K$1,Podesavanja!$AA$3:$AD$28, 4, 0), 0))</f>
        <v/>
      </c>
      <c r="L214" s="230" t="str">
        <f ca="1">IF( ISNA( VLOOKUP( APIF_Import!$O214 &amp; APIF_Import!$L$1,Podesavanja!$AA$3:$AD$28, 4, 0)), "", VLOOKUP( APIF_Import!$C214, INDIRECT( "Lookup_" &amp; APIF_Import!$M214:$O214), VLOOKUP( APIF_Import!$O214 &amp; APIF_Import!$L$1,Podesavanja!$AA$3:$AD$28, 4, 0), 0))</f>
        <v/>
      </c>
      <c r="M214" s="230" t="str">
        <f ca="1">IF( ISNA( VLOOKUP( APIF_Import!$O214 &amp; APIF_Import!$M$1,Podesavanja!$AA$3:$AD$28, 4, 0)), "", VLOOKUP( APIF_Import!$C214, INDIRECT( "Lookup_" &amp; APIF_Import!$M214:$O214), VLOOKUP( APIF_Import!$O214 &amp; APIF_Import!$M$1,Podesavanja!$AA$3:$AD$28, 4, 0), 0))</f>
        <v/>
      </c>
      <c r="N214" s="8">
        <v>213</v>
      </c>
      <c r="O214" s="49" t="s">
        <v>2377</v>
      </c>
    </row>
    <row r="215" spans="2:15">
      <c r="B215" s="44">
        <f ca="1">VLOOKUP( APIF_Import!$O215, Podesavanja!$N$3:$Q$9, 4, 0)</f>
        <v>3</v>
      </c>
      <c r="C215" s="229">
        <f ca="1">VLOOKUP( APIF_Import!$N215, Aop!$A$2:$P$456, 4, 0)</f>
        <v>276</v>
      </c>
      <c r="D215" s="230" t="str">
        <f ca="1">IF( ISNA( VLOOKUP( APIF_Import!$O215 &amp; APIF_Import!$D$1,Podesavanja!$AA$3:$AD$28, 4, 0)), "", SUBSTITUTE( VALUE( VLOOKUP( APIF_Import!$C215, INDIRECT( "Lookup_" &amp; APIF_Import!$O215), VLOOKUP( APIF_Import!$O215 &amp; APIF_Import!$D$1,Podesavanja!$AA$3:$AD$28, 4, 0), 0)), ".", ","))</f>
        <v>11450</v>
      </c>
      <c r="E215" s="230">
        <f ca="1">IF( ISNA( VLOOKUP( APIF_Import!$O215 &amp; APIF_Import!$E$1,Podesavanja!$AA$3:$AD$28, 4, 0)), "", VLOOKUP( APIF_Import!$C215, INDIRECT( "Lookup_" &amp; APIF_Import!$O215), VLOOKUP( APIF_Import!$O215 &amp; APIF_Import!$E$1,Podesavanja!$AA$3:$AD$28, 4, 0), 0))</f>
        <v>0</v>
      </c>
      <c r="F215" s="230" t="str">
        <f ca="1">IF( ISNA( VLOOKUP( APIF_Import!$O215 &amp; APIF_Import!$F$1,Podesavanja!$AA$3:$AD$28, 4, 0)), "", VLOOKUP( APIF_Import!$C215, INDIRECT( "Lookup_" &amp; APIF_Import!$O215), VLOOKUP( APIF_Import!$O215 &amp; APIF_Import!$F$1,Podesavanja!$AA$3:$AD$28, 4, 0), 0))</f>
        <v/>
      </c>
      <c r="G215" s="230" t="str">
        <f ca="1">IF( ISNA( VLOOKUP( APIF_Import!$O215 &amp; APIF_Import!$G$1,Podesavanja!$AA$3:$AD$28, 4, 0)), "", VLOOKUP( APIF_Import!$C215, INDIRECT( "Lookup_" &amp; APIF_Import!$O215), VLOOKUP( APIF_Import!$O215 &amp; APIF_Import!$G$1,Podesavanja!$AA$3:$AD$28, 4, 0), 0))</f>
        <v/>
      </c>
      <c r="H215" s="230" t="str">
        <f ca="1">IF( ISNA( VLOOKUP( APIF_Import!$O215 &amp; APIF_Import!$H$1,Podesavanja!$AA$3:$AD$28, 4, 0)), "", VLOOKUP( APIF_Import!$C215, INDIRECT( "Lookup_" &amp; APIF_Import!$O215), VLOOKUP( APIF_Import!$O215 &amp; APIF_Import!$H$1,Podesavanja!$AA$3:$AD$28, 4, 0), 0))</f>
        <v/>
      </c>
      <c r="I215" s="230" t="str">
        <f ca="1">IF( ISNA( VLOOKUP( APIF_Import!$O215 &amp; APIF_Import!$I$1,Podesavanja!$AA$3:$AD$28, 4, 0)), "", VLOOKUP( APIF_Import!$C215, INDIRECT( "Lookup_" &amp; APIF_Import!$M215:$O215), VLOOKUP( APIF_Import!$O215 &amp; APIF_Import!$I$1,Podesavanja!$AA$3:$AD$28, 4, 0), 0))</f>
        <v/>
      </c>
      <c r="J215" s="230" t="str">
        <f ca="1">IF( ISNA( VLOOKUP( APIF_Import!$O215 &amp; APIF_Import!$J$1,Podesavanja!$AA$3:$AD$28, 4, 0)), "", VLOOKUP( APIF_Import!$C215, INDIRECT( "Lookup_" &amp; APIF_Import!$M215:$O215), VLOOKUP( APIF_Import!$O215 &amp; APIF_Import!$J$1,Podesavanja!$AA$3:$AD$28, 4, 0), 0))</f>
        <v/>
      </c>
      <c r="K215" s="230" t="str">
        <f ca="1">IF( ISNA( VLOOKUP( APIF_Import!$O215 &amp; APIF_Import!$K$1,Podesavanja!$AA$3:$AD$28, 4, 0)), "", VLOOKUP( APIF_Import!$C215, INDIRECT( "Lookup_" &amp; APIF_Import!$M215:$O215), VLOOKUP( APIF_Import!$O215 &amp; APIF_Import!$K$1,Podesavanja!$AA$3:$AD$28, 4, 0), 0))</f>
        <v/>
      </c>
      <c r="L215" s="230" t="str">
        <f ca="1">IF( ISNA( VLOOKUP( APIF_Import!$O215 &amp; APIF_Import!$L$1,Podesavanja!$AA$3:$AD$28, 4, 0)), "", VLOOKUP( APIF_Import!$C215, INDIRECT( "Lookup_" &amp; APIF_Import!$M215:$O215), VLOOKUP( APIF_Import!$O215 &amp; APIF_Import!$L$1,Podesavanja!$AA$3:$AD$28, 4, 0), 0))</f>
        <v/>
      </c>
      <c r="M215" s="230" t="str">
        <f ca="1">IF( ISNA( VLOOKUP( APIF_Import!$O215 &amp; APIF_Import!$M$1,Podesavanja!$AA$3:$AD$28, 4, 0)), "", VLOOKUP( APIF_Import!$C215, INDIRECT( "Lookup_" &amp; APIF_Import!$M215:$O215), VLOOKUP( APIF_Import!$O215 &amp; APIF_Import!$M$1,Podesavanja!$AA$3:$AD$28, 4, 0), 0))</f>
        <v/>
      </c>
      <c r="N215" s="8">
        <v>214</v>
      </c>
      <c r="O215" s="49" t="s">
        <v>2377</v>
      </c>
    </row>
    <row r="216" spans="2:15">
      <c r="B216" s="44">
        <f ca="1">VLOOKUP( APIF_Import!$O216, Podesavanja!$N$3:$Q$9, 4, 0)</f>
        <v>3</v>
      </c>
      <c r="C216" s="229">
        <f ca="1">VLOOKUP( APIF_Import!$N216, Aop!$A$2:$P$456, 4, 0)</f>
        <v>277</v>
      </c>
      <c r="D216" s="230" t="str">
        <f ca="1">IF( ISNA( VLOOKUP( APIF_Import!$O216 &amp; APIF_Import!$D$1,Podesavanja!$AA$3:$AD$28, 4, 0)), "", SUBSTITUTE( VALUE( VLOOKUP( APIF_Import!$C216, INDIRECT( "Lookup_" &amp; APIF_Import!$O216), VLOOKUP( APIF_Import!$O216 &amp; APIF_Import!$D$1,Podesavanja!$AA$3:$AD$28, 4, 0), 0)), ".", ","))</f>
        <v>0</v>
      </c>
      <c r="E216" s="230">
        <f ca="1">IF( ISNA( VLOOKUP( APIF_Import!$O216 &amp; APIF_Import!$E$1,Podesavanja!$AA$3:$AD$28, 4, 0)), "", VLOOKUP( APIF_Import!$C216, INDIRECT( "Lookup_" &amp; APIF_Import!$O216), VLOOKUP( APIF_Import!$O216 &amp; APIF_Import!$E$1,Podesavanja!$AA$3:$AD$28, 4, 0), 0))</f>
        <v>0</v>
      </c>
      <c r="F216" s="230" t="str">
        <f ca="1">IF( ISNA( VLOOKUP( APIF_Import!$O216 &amp; APIF_Import!$F$1,Podesavanja!$AA$3:$AD$28, 4, 0)), "", VLOOKUP( APIF_Import!$C216, INDIRECT( "Lookup_" &amp; APIF_Import!$O216), VLOOKUP( APIF_Import!$O216 &amp; APIF_Import!$F$1,Podesavanja!$AA$3:$AD$28, 4, 0), 0))</f>
        <v/>
      </c>
      <c r="G216" s="230" t="str">
        <f ca="1">IF( ISNA( VLOOKUP( APIF_Import!$O216 &amp; APIF_Import!$G$1,Podesavanja!$AA$3:$AD$28, 4, 0)), "", VLOOKUP( APIF_Import!$C216, INDIRECT( "Lookup_" &amp; APIF_Import!$O216), VLOOKUP( APIF_Import!$O216 &amp; APIF_Import!$G$1,Podesavanja!$AA$3:$AD$28, 4, 0), 0))</f>
        <v/>
      </c>
      <c r="H216" s="230" t="str">
        <f ca="1">IF( ISNA( VLOOKUP( APIF_Import!$O216 &amp; APIF_Import!$H$1,Podesavanja!$AA$3:$AD$28, 4, 0)), "", VLOOKUP( APIF_Import!$C216, INDIRECT( "Lookup_" &amp; APIF_Import!$O216), VLOOKUP( APIF_Import!$O216 &amp; APIF_Import!$H$1,Podesavanja!$AA$3:$AD$28, 4, 0), 0))</f>
        <v/>
      </c>
      <c r="I216" s="230" t="str">
        <f ca="1">IF( ISNA( VLOOKUP( APIF_Import!$O216 &amp; APIF_Import!$I$1,Podesavanja!$AA$3:$AD$28, 4, 0)), "", VLOOKUP( APIF_Import!$C216, INDIRECT( "Lookup_" &amp; APIF_Import!$M216:$O216), VLOOKUP( APIF_Import!$O216 &amp; APIF_Import!$I$1,Podesavanja!$AA$3:$AD$28, 4, 0), 0))</f>
        <v/>
      </c>
      <c r="J216" s="230" t="str">
        <f ca="1">IF( ISNA( VLOOKUP( APIF_Import!$O216 &amp; APIF_Import!$J$1,Podesavanja!$AA$3:$AD$28, 4, 0)), "", VLOOKUP( APIF_Import!$C216, INDIRECT( "Lookup_" &amp; APIF_Import!$M216:$O216), VLOOKUP( APIF_Import!$O216 &amp; APIF_Import!$J$1,Podesavanja!$AA$3:$AD$28, 4, 0), 0))</f>
        <v/>
      </c>
      <c r="K216" s="230" t="str">
        <f ca="1">IF( ISNA( VLOOKUP( APIF_Import!$O216 &amp; APIF_Import!$K$1,Podesavanja!$AA$3:$AD$28, 4, 0)), "", VLOOKUP( APIF_Import!$C216, INDIRECT( "Lookup_" &amp; APIF_Import!$M216:$O216), VLOOKUP( APIF_Import!$O216 &amp; APIF_Import!$K$1,Podesavanja!$AA$3:$AD$28, 4, 0), 0))</f>
        <v/>
      </c>
      <c r="L216" s="230" t="str">
        <f ca="1">IF( ISNA( VLOOKUP( APIF_Import!$O216 &amp; APIF_Import!$L$1,Podesavanja!$AA$3:$AD$28, 4, 0)), "", VLOOKUP( APIF_Import!$C216, INDIRECT( "Lookup_" &amp; APIF_Import!$M216:$O216), VLOOKUP( APIF_Import!$O216 &amp; APIF_Import!$L$1,Podesavanja!$AA$3:$AD$28, 4, 0), 0))</f>
        <v/>
      </c>
      <c r="M216" s="230" t="str">
        <f ca="1">IF( ISNA( VLOOKUP( APIF_Import!$O216 &amp; APIF_Import!$M$1,Podesavanja!$AA$3:$AD$28, 4, 0)), "", VLOOKUP( APIF_Import!$C216, INDIRECT( "Lookup_" &amp; APIF_Import!$M216:$O216), VLOOKUP( APIF_Import!$O216 &amp; APIF_Import!$M$1,Podesavanja!$AA$3:$AD$28, 4, 0), 0))</f>
        <v/>
      </c>
      <c r="N216" s="8">
        <v>215</v>
      </c>
      <c r="O216" s="49" t="s">
        <v>2377</v>
      </c>
    </row>
    <row r="217" spans="2:15">
      <c r="B217" s="44">
        <f ca="1">VLOOKUP( APIF_Import!$O217, Podesavanja!$N$3:$Q$9, 4, 0)</f>
        <v>3</v>
      </c>
      <c r="C217" s="229">
        <f ca="1">VLOOKUP( APIF_Import!$N217, Aop!$A$2:$P$456, 4, 0)</f>
        <v>278</v>
      </c>
      <c r="D217" s="230" t="str">
        <f ca="1">IF( ISNA( VLOOKUP( APIF_Import!$O217 &amp; APIF_Import!$D$1,Podesavanja!$AA$3:$AD$28, 4, 0)), "", SUBSTITUTE( VALUE( VLOOKUP( APIF_Import!$C217, INDIRECT( "Lookup_" &amp; APIF_Import!$O217), VLOOKUP( APIF_Import!$O217 &amp; APIF_Import!$D$1,Podesavanja!$AA$3:$AD$28, 4, 0), 0)), ".", ","))</f>
        <v>0</v>
      </c>
      <c r="E217" s="230">
        <f ca="1">IF( ISNA( VLOOKUP( APIF_Import!$O217 &amp; APIF_Import!$E$1,Podesavanja!$AA$3:$AD$28, 4, 0)), "", VLOOKUP( APIF_Import!$C217, INDIRECT( "Lookup_" &amp; APIF_Import!$O217), VLOOKUP( APIF_Import!$O217 &amp; APIF_Import!$E$1,Podesavanja!$AA$3:$AD$28, 4, 0), 0))</f>
        <v>0</v>
      </c>
      <c r="F217" s="230" t="str">
        <f ca="1">IF( ISNA( VLOOKUP( APIF_Import!$O217 &amp; APIF_Import!$F$1,Podesavanja!$AA$3:$AD$28, 4, 0)), "", VLOOKUP( APIF_Import!$C217, INDIRECT( "Lookup_" &amp; APIF_Import!$O217), VLOOKUP( APIF_Import!$O217 &amp; APIF_Import!$F$1,Podesavanja!$AA$3:$AD$28, 4, 0), 0))</f>
        <v/>
      </c>
      <c r="G217" s="230" t="str">
        <f ca="1">IF( ISNA( VLOOKUP( APIF_Import!$O217 &amp; APIF_Import!$G$1,Podesavanja!$AA$3:$AD$28, 4, 0)), "", VLOOKUP( APIF_Import!$C217, INDIRECT( "Lookup_" &amp; APIF_Import!$O217), VLOOKUP( APIF_Import!$O217 &amp; APIF_Import!$G$1,Podesavanja!$AA$3:$AD$28, 4, 0), 0))</f>
        <v/>
      </c>
      <c r="H217" s="230" t="str">
        <f ca="1">IF( ISNA( VLOOKUP( APIF_Import!$O217 &amp; APIF_Import!$H$1,Podesavanja!$AA$3:$AD$28, 4, 0)), "", VLOOKUP( APIF_Import!$C217, INDIRECT( "Lookup_" &amp; APIF_Import!$O217), VLOOKUP( APIF_Import!$O217 &amp; APIF_Import!$H$1,Podesavanja!$AA$3:$AD$28, 4, 0), 0))</f>
        <v/>
      </c>
      <c r="I217" s="230" t="str">
        <f ca="1">IF( ISNA( VLOOKUP( APIF_Import!$O217 &amp; APIF_Import!$I$1,Podesavanja!$AA$3:$AD$28, 4, 0)), "", VLOOKUP( APIF_Import!$C217, INDIRECT( "Lookup_" &amp; APIF_Import!$M217:$O217), VLOOKUP( APIF_Import!$O217 &amp; APIF_Import!$I$1,Podesavanja!$AA$3:$AD$28, 4, 0), 0))</f>
        <v/>
      </c>
      <c r="J217" s="230" t="str">
        <f ca="1">IF( ISNA( VLOOKUP( APIF_Import!$O217 &amp; APIF_Import!$J$1,Podesavanja!$AA$3:$AD$28, 4, 0)), "", VLOOKUP( APIF_Import!$C217, INDIRECT( "Lookup_" &amp; APIF_Import!$M217:$O217), VLOOKUP( APIF_Import!$O217 &amp; APIF_Import!$J$1,Podesavanja!$AA$3:$AD$28, 4, 0), 0))</f>
        <v/>
      </c>
      <c r="K217" s="230" t="str">
        <f ca="1">IF( ISNA( VLOOKUP( APIF_Import!$O217 &amp; APIF_Import!$K$1,Podesavanja!$AA$3:$AD$28, 4, 0)), "", VLOOKUP( APIF_Import!$C217, INDIRECT( "Lookup_" &amp; APIF_Import!$M217:$O217), VLOOKUP( APIF_Import!$O217 &amp; APIF_Import!$K$1,Podesavanja!$AA$3:$AD$28, 4, 0), 0))</f>
        <v/>
      </c>
      <c r="L217" s="230" t="str">
        <f ca="1">IF( ISNA( VLOOKUP( APIF_Import!$O217 &amp; APIF_Import!$L$1,Podesavanja!$AA$3:$AD$28, 4, 0)), "", VLOOKUP( APIF_Import!$C217, INDIRECT( "Lookup_" &amp; APIF_Import!$M217:$O217), VLOOKUP( APIF_Import!$O217 &amp; APIF_Import!$L$1,Podesavanja!$AA$3:$AD$28, 4, 0), 0))</f>
        <v/>
      </c>
      <c r="M217" s="230" t="str">
        <f ca="1">IF( ISNA( VLOOKUP( APIF_Import!$O217 &amp; APIF_Import!$M$1,Podesavanja!$AA$3:$AD$28, 4, 0)), "", VLOOKUP( APIF_Import!$C217, INDIRECT( "Lookup_" &amp; APIF_Import!$M217:$O217), VLOOKUP( APIF_Import!$O217 &amp; APIF_Import!$M$1,Podesavanja!$AA$3:$AD$28, 4, 0), 0))</f>
        <v/>
      </c>
      <c r="N217" s="8">
        <v>216</v>
      </c>
      <c r="O217" s="49" t="s">
        <v>2377</v>
      </c>
    </row>
    <row r="218" spans="2:15">
      <c r="B218" s="44">
        <f ca="1">VLOOKUP( APIF_Import!$O218, Podesavanja!$N$3:$Q$9, 4, 0)</f>
        <v>3</v>
      </c>
      <c r="C218" s="229">
        <f ca="1">VLOOKUP( APIF_Import!$N218, Aop!$A$2:$P$456, 4, 0)</f>
        <v>279</v>
      </c>
      <c r="D218" s="230" t="str">
        <f ca="1">IF( ISNA( VLOOKUP( APIF_Import!$O218 &amp; APIF_Import!$D$1,Podesavanja!$AA$3:$AD$28, 4, 0)), "", SUBSTITUTE( VALUE( VLOOKUP( APIF_Import!$C218, INDIRECT( "Lookup_" &amp; APIF_Import!$O218), VLOOKUP( APIF_Import!$O218 &amp; APIF_Import!$D$1,Podesavanja!$AA$3:$AD$28, 4, 0), 0)), ".", ","))</f>
        <v>0</v>
      </c>
      <c r="E218" s="230">
        <f ca="1">IF( ISNA( VLOOKUP( APIF_Import!$O218 &amp; APIF_Import!$E$1,Podesavanja!$AA$3:$AD$28, 4, 0)), "", VLOOKUP( APIF_Import!$C218, INDIRECT( "Lookup_" &amp; APIF_Import!$O218), VLOOKUP( APIF_Import!$O218 &amp; APIF_Import!$E$1,Podesavanja!$AA$3:$AD$28, 4, 0), 0))</f>
        <v>0</v>
      </c>
      <c r="F218" s="230" t="str">
        <f ca="1">IF( ISNA( VLOOKUP( APIF_Import!$O218 &amp; APIF_Import!$F$1,Podesavanja!$AA$3:$AD$28, 4, 0)), "", VLOOKUP( APIF_Import!$C218, INDIRECT( "Lookup_" &amp; APIF_Import!$O218), VLOOKUP( APIF_Import!$O218 &amp; APIF_Import!$F$1,Podesavanja!$AA$3:$AD$28, 4, 0), 0))</f>
        <v/>
      </c>
      <c r="G218" s="230" t="str">
        <f ca="1">IF( ISNA( VLOOKUP( APIF_Import!$O218 &amp; APIF_Import!$G$1,Podesavanja!$AA$3:$AD$28, 4, 0)), "", VLOOKUP( APIF_Import!$C218, INDIRECT( "Lookup_" &amp; APIF_Import!$O218), VLOOKUP( APIF_Import!$O218 &amp; APIF_Import!$G$1,Podesavanja!$AA$3:$AD$28, 4, 0), 0))</f>
        <v/>
      </c>
      <c r="H218" s="230" t="str">
        <f ca="1">IF( ISNA( VLOOKUP( APIF_Import!$O218 &amp; APIF_Import!$H$1,Podesavanja!$AA$3:$AD$28, 4, 0)), "", VLOOKUP( APIF_Import!$C218, INDIRECT( "Lookup_" &amp; APIF_Import!$O218), VLOOKUP( APIF_Import!$O218 &amp; APIF_Import!$H$1,Podesavanja!$AA$3:$AD$28, 4, 0), 0))</f>
        <v/>
      </c>
      <c r="I218" s="230" t="str">
        <f ca="1">IF( ISNA( VLOOKUP( APIF_Import!$O218 &amp; APIF_Import!$I$1,Podesavanja!$AA$3:$AD$28, 4, 0)), "", VLOOKUP( APIF_Import!$C218, INDIRECT( "Lookup_" &amp; APIF_Import!$M218:$O218), VLOOKUP( APIF_Import!$O218 &amp; APIF_Import!$I$1,Podesavanja!$AA$3:$AD$28, 4, 0), 0))</f>
        <v/>
      </c>
      <c r="J218" s="230" t="str">
        <f ca="1">IF( ISNA( VLOOKUP( APIF_Import!$O218 &amp; APIF_Import!$J$1,Podesavanja!$AA$3:$AD$28, 4, 0)), "", VLOOKUP( APIF_Import!$C218, INDIRECT( "Lookup_" &amp; APIF_Import!$M218:$O218), VLOOKUP( APIF_Import!$O218 &amp; APIF_Import!$J$1,Podesavanja!$AA$3:$AD$28, 4, 0), 0))</f>
        <v/>
      </c>
      <c r="K218" s="230" t="str">
        <f ca="1">IF( ISNA( VLOOKUP( APIF_Import!$O218 &amp; APIF_Import!$K$1,Podesavanja!$AA$3:$AD$28, 4, 0)), "", VLOOKUP( APIF_Import!$C218, INDIRECT( "Lookup_" &amp; APIF_Import!$M218:$O218), VLOOKUP( APIF_Import!$O218 &amp; APIF_Import!$K$1,Podesavanja!$AA$3:$AD$28, 4, 0), 0))</f>
        <v/>
      </c>
      <c r="L218" s="230" t="str">
        <f ca="1">IF( ISNA( VLOOKUP( APIF_Import!$O218 &amp; APIF_Import!$L$1,Podesavanja!$AA$3:$AD$28, 4, 0)), "", VLOOKUP( APIF_Import!$C218, INDIRECT( "Lookup_" &amp; APIF_Import!$M218:$O218), VLOOKUP( APIF_Import!$O218 &amp; APIF_Import!$L$1,Podesavanja!$AA$3:$AD$28, 4, 0), 0))</f>
        <v/>
      </c>
      <c r="M218" s="230" t="str">
        <f ca="1">IF( ISNA( VLOOKUP( APIF_Import!$O218 &amp; APIF_Import!$M$1,Podesavanja!$AA$3:$AD$28, 4, 0)), "", VLOOKUP( APIF_Import!$C218, INDIRECT( "Lookup_" &amp; APIF_Import!$M218:$O218), VLOOKUP( APIF_Import!$O218 &amp; APIF_Import!$M$1,Podesavanja!$AA$3:$AD$28, 4, 0), 0))</f>
        <v/>
      </c>
      <c r="N218" s="8">
        <v>217</v>
      </c>
      <c r="O218" s="49" t="s">
        <v>2377</v>
      </c>
    </row>
    <row r="219" spans="2:15">
      <c r="B219" s="44">
        <f ca="1">VLOOKUP( APIF_Import!$O219, Podesavanja!$N$3:$Q$9, 4, 0)</f>
        <v>3</v>
      </c>
      <c r="C219" s="229">
        <f ca="1">VLOOKUP( APIF_Import!$N219, Aop!$A$2:$P$456, 4, 0)</f>
        <v>280</v>
      </c>
      <c r="D219" s="230" t="str">
        <f ca="1">IF( ISNA( VLOOKUP( APIF_Import!$O219 &amp; APIF_Import!$D$1,Podesavanja!$AA$3:$AD$28, 4, 0)), "", SUBSTITUTE( VALUE( VLOOKUP( APIF_Import!$C219, INDIRECT( "Lookup_" &amp; APIF_Import!$O219), VLOOKUP( APIF_Import!$O219 &amp; APIF_Import!$D$1,Podesavanja!$AA$3:$AD$28, 4, 0), 0)), ".", ","))</f>
        <v>0</v>
      </c>
      <c r="E219" s="230">
        <f ca="1">IF( ISNA( VLOOKUP( APIF_Import!$O219 &amp; APIF_Import!$E$1,Podesavanja!$AA$3:$AD$28, 4, 0)), "", VLOOKUP( APIF_Import!$C219, INDIRECT( "Lookup_" &amp; APIF_Import!$O219), VLOOKUP( APIF_Import!$O219 &amp; APIF_Import!$E$1,Podesavanja!$AA$3:$AD$28, 4, 0), 0))</f>
        <v>0</v>
      </c>
      <c r="F219" s="230" t="str">
        <f ca="1">IF( ISNA( VLOOKUP( APIF_Import!$O219 &amp; APIF_Import!$F$1,Podesavanja!$AA$3:$AD$28, 4, 0)), "", VLOOKUP( APIF_Import!$C219, INDIRECT( "Lookup_" &amp; APIF_Import!$O219), VLOOKUP( APIF_Import!$O219 &amp; APIF_Import!$F$1,Podesavanja!$AA$3:$AD$28, 4, 0), 0))</f>
        <v/>
      </c>
      <c r="G219" s="230" t="str">
        <f ca="1">IF( ISNA( VLOOKUP( APIF_Import!$O219 &amp; APIF_Import!$G$1,Podesavanja!$AA$3:$AD$28, 4, 0)), "", VLOOKUP( APIF_Import!$C219, INDIRECT( "Lookup_" &amp; APIF_Import!$O219), VLOOKUP( APIF_Import!$O219 &amp; APIF_Import!$G$1,Podesavanja!$AA$3:$AD$28, 4, 0), 0))</f>
        <v/>
      </c>
      <c r="H219" s="230" t="str">
        <f ca="1">IF( ISNA( VLOOKUP( APIF_Import!$O219 &amp; APIF_Import!$H$1,Podesavanja!$AA$3:$AD$28, 4, 0)), "", VLOOKUP( APIF_Import!$C219, INDIRECT( "Lookup_" &amp; APIF_Import!$O219), VLOOKUP( APIF_Import!$O219 &amp; APIF_Import!$H$1,Podesavanja!$AA$3:$AD$28, 4, 0), 0))</f>
        <v/>
      </c>
      <c r="I219" s="230" t="str">
        <f ca="1">IF( ISNA( VLOOKUP( APIF_Import!$O219 &amp; APIF_Import!$I$1,Podesavanja!$AA$3:$AD$28, 4, 0)), "", VLOOKUP( APIF_Import!$C219, INDIRECT( "Lookup_" &amp; APIF_Import!$M219:$O219), VLOOKUP( APIF_Import!$O219 &amp; APIF_Import!$I$1,Podesavanja!$AA$3:$AD$28, 4, 0), 0))</f>
        <v/>
      </c>
      <c r="J219" s="230" t="str">
        <f ca="1">IF( ISNA( VLOOKUP( APIF_Import!$O219 &amp; APIF_Import!$J$1,Podesavanja!$AA$3:$AD$28, 4, 0)), "", VLOOKUP( APIF_Import!$C219, INDIRECT( "Lookup_" &amp; APIF_Import!$M219:$O219), VLOOKUP( APIF_Import!$O219 &amp; APIF_Import!$J$1,Podesavanja!$AA$3:$AD$28, 4, 0), 0))</f>
        <v/>
      </c>
      <c r="K219" s="230" t="str">
        <f ca="1">IF( ISNA( VLOOKUP( APIF_Import!$O219 &amp; APIF_Import!$K$1,Podesavanja!$AA$3:$AD$28, 4, 0)), "", VLOOKUP( APIF_Import!$C219, INDIRECT( "Lookup_" &amp; APIF_Import!$M219:$O219), VLOOKUP( APIF_Import!$O219 &amp; APIF_Import!$K$1,Podesavanja!$AA$3:$AD$28, 4, 0), 0))</f>
        <v/>
      </c>
      <c r="L219" s="230" t="str">
        <f ca="1">IF( ISNA( VLOOKUP( APIF_Import!$O219 &amp; APIF_Import!$L$1,Podesavanja!$AA$3:$AD$28, 4, 0)), "", VLOOKUP( APIF_Import!$C219, INDIRECT( "Lookup_" &amp; APIF_Import!$M219:$O219), VLOOKUP( APIF_Import!$O219 &amp; APIF_Import!$L$1,Podesavanja!$AA$3:$AD$28, 4, 0), 0))</f>
        <v/>
      </c>
      <c r="M219" s="230" t="str">
        <f ca="1">IF( ISNA( VLOOKUP( APIF_Import!$O219 &amp; APIF_Import!$M$1,Podesavanja!$AA$3:$AD$28, 4, 0)), "", VLOOKUP( APIF_Import!$C219, INDIRECT( "Lookup_" &amp; APIF_Import!$M219:$O219), VLOOKUP( APIF_Import!$O219 &amp; APIF_Import!$M$1,Podesavanja!$AA$3:$AD$28, 4, 0), 0))</f>
        <v/>
      </c>
      <c r="N219" s="8">
        <v>218</v>
      </c>
      <c r="O219" s="49" t="s">
        <v>2377</v>
      </c>
    </row>
    <row r="220" spans="2:15">
      <c r="B220" s="44">
        <f ca="1">VLOOKUP( APIF_Import!$O220, Podesavanja!$N$3:$Q$9, 4, 0)</f>
        <v>3</v>
      </c>
      <c r="C220" s="229">
        <f ca="1">VLOOKUP( APIF_Import!$N220, Aop!$A$2:$P$456, 4, 0)</f>
        <v>281</v>
      </c>
      <c r="D220" s="230" t="str">
        <f ca="1">IF( ISNA( VLOOKUP( APIF_Import!$O220 &amp; APIF_Import!$D$1,Podesavanja!$AA$3:$AD$28, 4, 0)), "", SUBSTITUTE( VALUE( VLOOKUP( APIF_Import!$C220, INDIRECT( "Lookup_" &amp; APIF_Import!$O220), VLOOKUP( APIF_Import!$O220 &amp; APIF_Import!$D$1,Podesavanja!$AA$3:$AD$28, 4, 0), 0)), ".", ","))</f>
        <v>0</v>
      </c>
      <c r="E220" s="230">
        <f ca="1">IF( ISNA( VLOOKUP( APIF_Import!$O220 &amp; APIF_Import!$E$1,Podesavanja!$AA$3:$AD$28, 4, 0)), "", VLOOKUP( APIF_Import!$C220, INDIRECT( "Lookup_" &amp; APIF_Import!$O220), VLOOKUP( APIF_Import!$O220 &amp; APIF_Import!$E$1,Podesavanja!$AA$3:$AD$28, 4, 0), 0))</f>
        <v>0</v>
      </c>
      <c r="F220" s="230" t="str">
        <f ca="1">IF( ISNA( VLOOKUP( APIF_Import!$O220 &amp; APIF_Import!$F$1,Podesavanja!$AA$3:$AD$28, 4, 0)), "", VLOOKUP( APIF_Import!$C220, INDIRECT( "Lookup_" &amp; APIF_Import!$O220), VLOOKUP( APIF_Import!$O220 &amp; APIF_Import!$F$1,Podesavanja!$AA$3:$AD$28, 4, 0), 0))</f>
        <v/>
      </c>
      <c r="G220" s="230" t="str">
        <f ca="1">IF( ISNA( VLOOKUP( APIF_Import!$O220 &amp; APIF_Import!$G$1,Podesavanja!$AA$3:$AD$28, 4, 0)), "", VLOOKUP( APIF_Import!$C220, INDIRECT( "Lookup_" &amp; APIF_Import!$O220), VLOOKUP( APIF_Import!$O220 &amp; APIF_Import!$G$1,Podesavanja!$AA$3:$AD$28, 4, 0), 0))</f>
        <v/>
      </c>
      <c r="H220" s="230" t="str">
        <f ca="1">IF( ISNA( VLOOKUP( APIF_Import!$O220 &amp; APIF_Import!$H$1,Podesavanja!$AA$3:$AD$28, 4, 0)), "", VLOOKUP( APIF_Import!$C220, INDIRECT( "Lookup_" &amp; APIF_Import!$O220), VLOOKUP( APIF_Import!$O220 &amp; APIF_Import!$H$1,Podesavanja!$AA$3:$AD$28, 4, 0), 0))</f>
        <v/>
      </c>
      <c r="I220" s="230" t="str">
        <f ca="1">IF( ISNA( VLOOKUP( APIF_Import!$O220 &amp; APIF_Import!$I$1,Podesavanja!$AA$3:$AD$28, 4, 0)), "", VLOOKUP( APIF_Import!$C220, INDIRECT( "Lookup_" &amp; APIF_Import!$M220:$O220), VLOOKUP( APIF_Import!$O220 &amp; APIF_Import!$I$1,Podesavanja!$AA$3:$AD$28, 4, 0), 0))</f>
        <v/>
      </c>
      <c r="J220" s="230" t="str">
        <f ca="1">IF( ISNA( VLOOKUP( APIF_Import!$O220 &amp; APIF_Import!$J$1,Podesavanja!$AA$3:$AD$28, 4, 0)), "", VLOOKUP( APIF_Import!$C220, INDIRECT( "Lookup_" &amp; APIF_Import!$M220:$O220), VLOOKUP( APIF_Import!$O220 &amp; APIF_Import!$J$1,Podesavanja!$AA$3:$AD$28, 4, 0), 0))</f>
        <v/>
      </c>
      <c r="K220" s="230" t="str">
        <f ca="1">IF( ISNA( VLOOKUP( APIF_Import!$O220 &amp; APIF_Import!$K$1,Podesavanja!$AA$3:$AD$28, 4, 0)), "", VLOOKUP( APIF_Import!$C220, INDIRECT( "Lookup_" &amp; APIF_Import!$M220:$O220), VLOOKUP( APIF_Import!$O220 &amp; APIF_Import!$K$1,Podesavanja!$AA$3:$AD$28, 4, 0), 0))</f>
        <v/>
      </c>
      <c r="L220" s="230" t="str">
        <f ca="1">IF( ISNA( VLOOKUP( APIF_Import!$O220 &amp; APIF_Import!$L$1,Podesavanja!$AA$3:$AD$28, 4, 0)), "", VLOOKUP( APIF_Import!$C220, INDIRECT( "Lookup_" &amp; APIF_Import!$M220:$O220), VLOOKUP( APIF_Import!$O220 &amp; APIF_Import!$L$1,Podesavanja!$AA$3:$AD$28, 4, 0), 0))</f>
        <v/>
      </c>
      <c r="M220" s="230" t="str">
        <f ca="1">IF( ISNA( VLOOKUP( APIF_Import!$O220 &amp; APIF_Import!$M$1,Podesavanja!$AA$3:$AD$28, 4, 0)), "", VLOOKUP( APIF_Import!$C220, INDIRECT( "Lookup_" &amp; APIF_Import!$M220:$O220), VLOOKUP( APIF_Import!$O220 &amp; APIF_Import!$M$1,Podesavanja!$AA$3:$AD$28, 4, 0), 0))</f>
        <v/>
      </c>
      <c r="N220" s="8">
        <v>219</v>
      </c>
      <c r="O220" s="49" t="s">
        <v>2377</v>
      </c>
    </row>
    <row r="221" spans="2:15">
      <c r="B221" s="44">
        <f ca="1">VLOOKUP( APIF_Import!$O221, Podesavanja!$N$3:$Q$9, 4, 0)</f>
        <v>3</v>
      </c>
      <c r="C221" s="229">
        <f ca="1">VLOOKUP( APIF_Import!$N221, Aop!$A$2:$P$456, 4, 0)</f>
        <v>282</v>
      </c>
      <c r="D221" s="230" t="str">
        <f ca="1">IF( ISNA( VLOOKUP( APIF_Import!$O221 &amp; APIF_Import!$D$1,Podesavanja!$AA$3:$AD$28, 4, 0)), "", SUBSTITUTE( VALUE( VLOOKUP( APIF_Import!$C221, INDIRECT( "Lookup_" &amp; APIF_Import!$O221), VLOOKUP( APIF_Import!$O221 &amp; APIF_Import!$D$1,Podesavanja!$AA$3:$AD$28, 4, 0), 0)), ".", ","))</f>
        <v>0</v>
      </c>
      <c r="E221" s="230">
        <f ca="1">IF( ISNA( VLOOKUP( APIF_Import!$O221 &amp; APIF_Import!$E$1,Podesavanja!$AA$3:$AD$28, 4, 0)), "", VLOOKUP( APIF_Import!$C221, INDIRECT( "Lookup_" &amp; APIF_Import!$O221), VLOOKUP( APIF_Import!$O221 &amp; APIF_Import!$E$1,Podesavanja!$AA$3:$AD$28, 4, 0), 0))</f>
        <v>0</v>
      </c>
      <c r="F221" s="230" t="str">
        <f ca="1">IF( ISNA( VLOOKUP( APIF_Import!$O221 &amp; APIF_Import!$F$1,Podesavanja!$AA$3:$AD$28, 4, 0)), "", VLOOKUP( APIF_Import!$C221, INDIRECT( "Lookup_" &amp; APIF_Import!$O221), VLOOKUP( APIF_Import!$O221 &amp; APIF_Import!$F$1,Podesavanja!$AA$3:$AD$28, 4, 0), 0))</f>
        <v/>
      </c>
      <c r="G221" s="230" t="str">
        <f ca="1">IF( ISNA( VLOOKUP( APIF_Import!$O221 &amp; APIF_Import!$G$1,Podesavanja!$AA$3:$AD$28, 4, 0)), "", VLOOKUP( APIF_Import!$C221, INDIRECT( "Lookup_" &amp; APIF_Import!$O221), VLOOKUP( APIF_Import!$O221 &amp; APIF_Import!$G$1,Podesavanja!$AA$3:$AD$28, 4, 0), 0))</f>
        <v/>
      </c>
      <c r="H221" s="230" t="str">
        <f ca="1">IF( ISNA( VLOOKUP( APIF_Import!$O221 &amp; APIF_Import!$H$1,Podesavanja!$AA$3:$AD$28, 4, 0)), "", VLOOKUP( APIF_Import!$C221, INDIRECT( "Lookup_" &amp; APIF_Import!$O221), VLOOKUP( APIF_Import!$O221 &amp; APIF_Import!$H$1,Podesavanja!$AA$3:$AD$28, 4, 0), 0))</f>
        <v/>
      </c>
      <c r="I221" s="230" t="str">
        <f ca="1">IF( ISNA( VLOOKUP( APIF_Import!$O221 &amp; APIF_Import!$I$1,Podesavanja!$AA$3:$AD$28, 4, 0)), "", VLOOKUP( APIF_Import!$C221, INDIRECT( "Lookup_" &amp; APIF_Import!$M221:$O221), VLOOKUP( APIF_Import!$O221 &amp; APIF_Import!$I$1,Podesavanja!$AA$3:$AD$28, 4, 0), 0))</f>
        <v/>
      </c>
      <c r="J221" s="230" t="str">
        <f ca="1">IF( ISNA( VLOOKUP( APIF_Import!$O221 &amp; APIF_Import!$J$1,Podesavanja!$AA$3:$AD$28, 4, 0)), "", VLOOKUP( APIF_Import!$C221, INDIRECT( "Lookup_" &amp; APIF_Import!$M221:$O221), VLOOKUP( APIF_Import!$O221 &amp; APIF_Import!$J$1,Podesavanja!$AA$3:$AD$28, 4, 0), 0))</f>
        <v/>
      </c>
      <c r="K221" s="230" t="str">
        <f ca="1">IF( ISNA( VLOOKUP( APIF_Import!$O221 &amp; APIF_Import!$K$1,Podesavanja!$AA$3:$AD$28, 4, 0)), "", VLOOKUP( APIF_Import!$C221, INDIRECT( "Lookup_" &amp; APIF_Import!$M221:$O221), VLOOKUP( APIF_Import!$O221 &amp; APIF_Import!$K$1,Podesavanja!$AA$3:$AD$28, 4, 0), 0))</f>
        <v/>
      </c>
      <c r="L221" s="230" t="str">
        <f ca="1">IF( ISNA( VLOOKUP( APIF_Import!$O221 &amp; APIF_Import!$L$1,Podesavanja!$AA$3:$AD$28, 4, 0)), "", VLOOKUP( APIF_Import!$C221, INDIRECT( "Lookup_" &amp; APIF_Import!$M221:$O221), VLOOKUP( APIF_Import!$O221 &amp; APIF_Import!$L$1,Podesavanja!$AA$3:$AD$28, 4, 0), 0))</f>
        <v/>
      </c>
      <c r="M221" s="230" t="str">
        <f ca="1">IF( ISNA( VLOOKUP( APIF_Import!$O221 &amp; APIF_Import!$M$1,Podesavanja!$AA$3:$AD$28, 4, 0)), "", VLOOKUP( APIF_Import!$C221, INDIRECT( "Lookup_" &amp; APIF_Import!$M221:$O221), VLOOKUP( APIF_Import!$O221 &amp; APIF_Import!$M$1,Podesavanja!$AA$3:$AD$28, 4, 0), 0))</f>
        <v/>
      </c>
      <c r="N221" s="8">
        <v>220</v>
      </c>
      <c r="O221" s="49" t="s">
        <v>2377</v>
      </c>
    </row>
    <row r="222" spans="2:15">
      <c r="B222" s="44">
        <f ca="1">VLOOKUP( APIF_Import!$O222, Podesavanja!$N$3:$Q$9, 4, 0)</f>
        <v>3</v>
      </c>
      <c r="C222" s="229">
        <f ca="1">VLOOKUP( APIF_Import!$N222, Aop!$A$2:$P$456, 4, 0)</f>
        <v>283</v>
      </c>
      <c r="D222" s="230" t="str">
        <f ca="1">IF( ISNA( VLOOKUP( APIF_Import!$O222 &amp; APIF_Import!$D$1,Podesavanja!$AA$3:$AD$28, 4, 0)), "", SUBSTITUTE( VALUE( VLOOKUP( APIF_Import!$C222, INDIRECT( "Lookup_" &amp; APIF_Import!$O222), VLOOKUP( APIF_Import!$O222 &amp; APIF_Import!$D$1,Podesavanja!$AA$3:$AD$28, 4, 0), 0)), ".", ","))</f>
        <v>0</v>
      </c>
      <c r="E222" s="230">
        <f ca="1">IF( ISNA( VLOOKUP( APIF_Import!$O222 &amp; APIF_Import!$E$1,Podesavanja!$AA$3:$AD$28, 4, 0)), "", VLOOKUP( APIF_Import!$C222, INDIRECT( "Lookup_" &amp; APIF_Import!$O222), VLOOKUP( APIF_Import!$O222 &amp; APIF_Import!$E$1,Podesavanja!$AA$3:$AD$28, 4, 0), 0))</f>
        <v>0</v>
      </c>
      <c r="F222" s="230" t="str">
        <f ca="1">IF( ISNA( VLOOKUP( APIF_Import!$O222 &amp; APIF_Import!$F$1,Podesavanja!$AA$3:$AD$28, 4, 0)), "", VLOOKUP( APIF_Import!$C222, INDIRECT( "Lookup_" &amp; APIF_Import!$O222), VLOOKUP( APIF_Import!$O222 &amp; APIF_Import!$F$1,Podesavanja!$AA$3:$AD$28, 4, 0), 0))</f>
        <v/>
      </c>
      <c r="G222" s="230" t="str">
        <f ca="1">IF( ISNA( VLOOKUP( APIF_Import!$O222 &amp; APIF_Import!$G$1,Podesavanja!$AA$3:$AD$28, 4, 0)), "", VLOOKUP( APIF_Import!$C222, INDIRECT( "Lookup_" &amp; APIF_Import!$O222), VLOOKUP( APIF_Import!$O222 &amp; APIF_Import!$G$1,Podesavanja!$AA$3:$AD$28, 4, 0), 0))</f>
        <v/>
      </c>
      <c r="H222" s="230" t="str">
        <f ca="1">IF( ISNA( VLOOKUP( APIF_Import!$O222 &amp; APIF_Import!$H$1,Podesavanja!$AA$3:$AD$28, 4, 0)), "", VLOOKUP( APIF_Import!$C222, INDIRECT( "Lookup_" &amp; APIF_Import!$O222), VLOOKUP( APIF_Import!$O222 &amp; APIF_Import!$H$1,Podesavanja!$AA$3:$AD$28, 4, 0), 0))</f>
        <v/>
      </c>
      <c r="I222" s="230" t="str">
        <f ca="1">IF( ISNA( VLOOKUP( APIF_Import!$O222 &amp; APIF_Import!$I$1,Podesavanja!$AA$3:$AD$28, 4, 0)), "", VLOOKUP( APIF_Import!$C222, INDIRECT( "Lookup_" &amp; APIF_Import!$M222:$O222), VLOOKUP( APIF_Import!$O222 &amp; APIF_Import!$I$1,Podesavanja!$AA$3:$AD$28, 4, 0), 0))</f>
        <v/>
      </c>
      <c r="J222" s="230" t="str">
        <f ca="1">IF( ISNA( VLOOKUP( APIF_Import!$O222 &amp; APIF_Import!$J$1,Podesavanja!$AA$3:$AD$28, 4, 0)), "", VLOOKUP( APIF_Import!$C222, INDIRECT( "Lookup_" &amp; APIF_Import!$M222:$O222), VLOOKUP( APIF_Import!$O222 &amp; APIF_Import!$J$1,Podesavanja!$AA$3:$AD$28, 4, 0), 0))</f>
        <v/>
      </c>
      <c r="K222" s="230" t="str">
        <f ca="1">IF( ISNA( VLOOKUP( APIF_Import!$O222 &amp; APIF_Import!$K$1,Podesavanja!$AA$3:$AD$28, 4, 0)), "", VLOOKUP( APIF_Import!$C222, INDIRECT( "Lookup_" &amp; APIF_Import!$M222:$O222), VLOOKUP( APIF_Import!$O222 &amp; APIF_Import!$K$1,Podesavanja!$AA$3:$AD$28, 4, 0), 0))</f>
        <v/>
      </c>
      <c r="L222" s="230" t="str">
        <f ca="1">IF( ISNA( VLOOKUP( APIF_Import!$O222 &amp; APIF_Import!$L$1,Podesavanja!$AA$3:$AD$28, 4, 0)), "", VLOOKUP( APIF_Import!$C222, INDIRECT( "Lookup_" &amp; APIF_Import!$M222:$O222), VLOOKUP( APIF_Import!$O222 &amp; APIF_Import!$L$1,Podesavanja!$AA$3:$AD$28, 4, 0), 0))</f>
        <v/>
      </c>
      <c r="M222" s="230" t="str">
        <f ca="1">IF( ISNA( VLOOKUP( APIF_Import!$O222 &amp; APIF_Import!$M$1,Podesavanja!$AA$3:$AD$28, 4, 0)), "", VLOOKUP( APIF_Import!$C222, INDIRECT( "Lookup_" &amp; APIF_Import!$M222:$O222), VLOOKUP( APIF_Import!$O222 &amp; APIF_Import!$M$1,Podesavanja!$AA$3:$AD$28, 4, 0), 0))</f>
        <v/>
      </c>
      <c r="N222" s="8">
        <v>221</v>
      </c>
      <c r="O222" s="49" t="s">
        <v>2377</v>
      </c>
    </row>
    <row r="223" spans="2:15">
      <c r="B223" s="44">
        <f ca="1">VLOOKUP( APIF_Import!$O223, Podesavanja!$N$3:$Q$9, 4, 0)</f>
        <v>3</v>
      </c>
      <c r="C223" s="229">
        <f ca="1">VLOOKUP( APIF_Import!$N223, Aop!$A$2:$P$456, 4, 0)</f>
        <v>284</v>
      </c>
      <c r="D223" s="230" t="str">
        <f ca="1">IF( ISNA( VLOOKUP( APIF_Import!$O223 &amp; APIF_Import!$D$1,Podesavanja!$AA$3:$AD$28, 4, 0)), "", SUBSTITUTE( VALUE( VLOOKUP( APIF_Import!$C223, INDIRECT( "Lookup_" &amp; APIF_Import!$O223), VLOOKUP( APIF_Import!$O223 &amp; APIF_Import!$D$1,Podesavanja!$AA$3:$AD$28, 4, 0), 0)), ".", ","))</f>
        <v>0</v>
      </c>
      <c r="E223" s="230">
        <f ca="1">IF( ISNA( VLOOKUP( APIF_Import!$O223 &amp; APIF_Import!$E$1,Podesavanja!$AA$3:$AD$28, 4, 0)), "", VLOOKUP( APIF_Import!$C223, INDIRECT( "Lookup_" &amp; APIF_Import!$O223), VLOOKUP( APIF_Import!$O223 &amp; APIF_Import!$E$1,Podesavanja!$AA$3:$AD$28, 4, 0), 0))</f>
        <v>0</v>
      </c>
      <c r="F223" s="230" t="str">
        <f ca="1">IF( ISNA( VLOOKUP( APIF_Import!$O223 &amp; APIF_Import!$F$1,Podesavanja!$AA$3:$AD$28, 4, 0)), "", VLOOKUP( APIF_Import!$C223, INDIRECT( "Lookup_" &amp; APIF_Import!$O223), VLOOKUP( APIF_Import!$O223 &amp; APIF_Import!$F$1,Podesavanja!$AA$3:$AD$28, 4, 0), 0))</f>
        <v/>
      </c>
      <c r="G223" s="230" t="str">
        <f ca="1">IF( ISNA( VLOOKUP( APIF_Import!$O223 &amp; APIF_Import!$G$1,Podesavanja!$AA$3:$AD$28, 4, 0)), "", VLOOKUP( APIF_Import!$C223, INDIRECT( "Lookup_" &amp; APIF_Import!$O223), VLOOKUP( APIF_Import!$O223 &amp; APIF_Import!$G$1,Podesavanja!$AA$3:$AD$28, 4, 0), 0))</f>
        <v/>
      </c>
      <c r="H223" s="230" t="str">
        <f ca="1">IF( ISNA( VLOOKUP( APIF_Import!$O223 &amp; APIF_Import!$H$1,Podesavanja!$AA$3:$AD$28, 4, 0)), "", VLOOKUP( APIF_Import!$C223, INDIRECT( "Lookup_" &amp; APIF_Import!$O223), VLOOKUP( APIF_Import!$O223 &amp; APIF_Import!$H$1,Podesavanja!$AA$3:$AD$28, 4, 0), 0))</f>
        <v/>
      </c>
      <c r="I223" s="230" t="str">
        <f ca="1">IF( ISNA( VLOOKUP( APIF_Import!$O223 &amp; APIF_Import!$I$1,Podesavanja!$AA$3:$AD$28, 4, 0)), "", VLOOKUP( APIF_Import!$C223, INDIRECT( "Lookup_" &amp; APIF_Import!$M223:$O223), VLOOKUP( APIF_Import!$O223 &amp; APIF_Import!$I$1,Podesavanja!$AA$3:$AD$28, 4, 0), 0))</f>
        <v/>
      </c>
      <c r="J223" s="230" t="str">
        <f ca="1">IF( ISNA( VLOOKUP( APIF_Import!$O223 &amp; APIF_Import!$J$1,Podesavanja!$AA$3:$AD$28, 4, 0)), "", VLOOKUP( APIF_Import!$C223, INDIRECT( "Lookup_" &amp; APIF_Import!$M223:$O223), VLOOKUP( APIF_Import!$O223 &amp; APIF_Import!$J$1,Podesavanja!$AA$3:$AD$28, 4, 0), 0))</f>
        <v/>
      </c>
      <c r="K223" s="230" t="str">
        <f ca="1">IF( ISNA( VLOOKUP( APIF_Import!$O223 &amp; APIF_Import!$K$1,Podesavanja!$AA$3:$AD$28, 4, 0)), "", VLOOKUP( APIF_Import!$C223, INDIRECT( "Lookup_" &amp; APIF_Import!$M223:$O223), VLOOKUP( APIF_Import!$O223 &amp; APIF_Import!$K$1,Podesavanja!$AA$3:$AD$28, 4, 0), 0))</f>
        <v/>
      </c>
      <c r="L223" s="230" t="str">
        <f ca="1">IF( ISNA( VLOOKUP( APIF_Import!$O223 &amp; APIF_Import!$L$1,Podesavanja!$AA$3:$AD$28, 4, 0)), "", VLOOKUP( APIF_Import!$C223, INDIRECT( "Lookup_" &amp; APIF_Import!$M223:$O223), VLOOKUP( APIF_Import!$O223 &amp; APIF_Import!$L$1,Podesavanja!$AA$3:$AD$28, 4, 0), 0))</f>
        <v/>
      </c>
      <c r="M223" s="230" t="str">
        <f ca="1">IF( ISNA( VLOOKUP( APIF_Import!$O223 &amp; APIF_Import!$M$1,Podesavanja!$AA$3:$AD$28, 4, 0)), "", VLOOKUP( APIF_Import!$C223, INDIRECT( "Lookup_" &amp; APIF_Import!$M223:$O223), VLOOKUP( APIF_Import!$O223 &amp; APIF_Import!$M$1,Podesavanja!$AA$3:$AD$28, 4, 0), 0))</f>
        <v/>
      </c>
      <c r="N223" s="8">
        <v>222</v>
      </c>
      <c r="O223" s="49" t="s">
        <v>2377</v>
      </c>
    </row>
    <row r="224" spans="2:15">
      <c r="B224" s="44">
        <f ca="1">VLOOKUP( APIF_Import!$O224, Podesavanja!$N$3:$Q$9, 4, 0)</f>
        <v>3</v>
      </c>
      <c r="C224" s="229">
        <f ca="1">VLOOKUP( APIF_Import!$N224, Aop!$A$2:$P$456, 4, 0)</f>
        <v>285</v>
      </c>
      <c r="D224" s="230" t="str">
        <f ca="1">IF( ISNA( VLOOKUP( APIF_Import!$O224 &amp; APIF_Import!$D$1,Podesavanja!$AA$3:$AD$28, 4, 0)), "", SUBSTITUTE( VALUE( VLOOKUP( APIF_Import!$C224, INDIRECT( "Lookup_" &amp; APIF_Import!$O224), VLOOKUP( APIF_Import!$O224 &amp; APIF_Import!$D$1,Podesavanja!$AA$3:$AD$28, 4, 0), 0)), ".", ","))</f>
        <v>0</v>
      </c>
      <c r="E224" s="230">
        <f ca="1">IF( ISNA( VLOOKUP( APIF_Import!$O224 &amp; APIF_Import!$E$1,Podesavanja!$AA$3:$AD$28, 4, 0)), "", VLOOKUP( APIF_Import!$C224, INDIRECT( "Lookup_" &amp; APIF_Import!$O224), VLOOKUP( APIF_Import!$O224 &amp; APIF_Import!$E$1,Podesavanja!$AA$3:$AD$28, 4, 0), 0))</f>
        <v>0</v>
      </c>
      <c r="F224" s="230" t="str">
        <f ca="1">IF( ISNA( VLOOKUP( APIF_Import!$O224 &amp; APIF_Import!$F$1,Podesavanja!$AA$3:$AD$28, 4, 0)), "", VLOOKUP( APIF_Import!$C224, INDIRECT( "Lookup_" &amp; APIF_Import!$O224), VLOOKUP( APIF_Import!$O224 &amp; APIF_Import!$F$1,Podesavanja!$AA$3:$AD$28, 4, 0), 0))</f>
        <v/>
      </c>
      <c r="G224" s="230" t="str">
        <f ca="1">IF( ISNA( VLOOKUP( APIF_Import!$O224 &amp; APIF_Import!$G$1,Podesavanja!$AA$3:$AD$28, 4, 0)), "", VLOOKUP( APIF_Import!$C224, INDIRECT( "Lookup_" &amp; APIF_Import!$O224), VLOOKUP( APIF_Import!$O224 &amp; APIF_Import!$G$1,Podesavanja!$AA$3:$AD$28, 4, 0), 0))</f>
        <v/>
      </c>
      <c r="H224" s="230" t="str">
        <f ca="1">IF( ISNA( VLOOKUP( APIF_Import!$O224 &amp; APIF_Import!$H$1,Podesavanja!$AA$3:$AD$28, 4, 0)), "", VLOOKUP( APIF_Import!$C224, INDIRECT( "Lookup_" &amp; APIF_Import!$O224), VLOOKUP( APIF_Import!$O224 &amp; APIF_Import!$H$1,Podesavanja!$AA$3:$AD$28, 4, 0), 0))</f>
        <v/>
      </c>
      <c r="I224" s="230" t="str">
        <f ca="1">IF( ISNA( VLOOKUP( APIF_Import!$O224 &amp; APIF_Import!$I$1,Podesavanja!$AA$3:$AD$28, 4, 0)), "", VLOOKUP( APIF_Import!$C224, INDIRECT( "Lookup_" &amp; APIF_Import!$M224:$O224), VLOOKUP( APIF_Import!$O224 &amp; APIF_Import!$I$1,Podesavanja!$AA$3:$AD$28, 4, 0), 0))</f>
        <v/>
      </c>
      <c r="J224" s="230" t="str">
        <f ca="1">IF( ISNA( VLOOKUP( APIF_Import!$O224 &amp; APIF_Import!$J$1,Podesavanja!$AA$3:$AD$28, 4, 0)), "", VLOOKUP( APIF_Import!$C224, INDIRECT( "Lookup_" &amp; APIF_Import!$M224:$O224), VLOOKUP( APIF_Import!$O224 &amp; APIF_Import!$J$1,Podesavanja!$AA$3:$AD$28, 4, 0), 0))</f>
        <v/>
      </c>
      <c r="K224" s="230" t="str">
        <f ca="1">IF( ISNA( VLOOKUP( APIF_Import!$O224 &amp; APIF_Import!$K$1,Podesavanja!$AA$3:$AD$28, 4, 0)), "", VLOOKUP( APIF_Import!$C224, INDIRECT( "Lookup_" &amp; APIF_Import!$M224:$O224), VLOOKUP( APIF_Import!$O224 &amp; APIF_Import!$K$1,Podesavanja!$AA$3:$AD$28, 4, 0), 0))</f>
        <v/>
      </c>
      <c r="L224" s="230" t="str">
        <f ca="1">IF( ISNA( VLOOKUP( APIF_Import!$O224 &amp; APIF_Import!$L$1,Podesavanja!$AA$3:$AD$28, 4, 0)), "", VLOOKUP( APIF_Import!$C224, INDIRECT( "Lookup_" &amp; APIF_Import!$M224:$O224), VLOOKUP( APIF_Import!$O224 &amp; APIF_Import!$L$1,Podesavanja!$AA$3:$AD$28, 4, 0), 0))</f>
        <v/>
      </c>
      <c r="M224" s="230" t="str">
        <f ca="1">IF( ISNA( VLOOKUP( APIF_Import!$O224 &amp; APIF_Import!$M$1,Podesavanja!$AA$3:$AD$28, 4, 0)), "", VLOOKUP( APIF_Import!$C224, INDIRECT( "Lookup_" &amp; APIF_Import!$M224:$O224), VLOOKUP( APIF_Import!$O224 &amp; APIF_Import!$M$1,Podesavanja!$AA$3:$AD$28, 4, 0), 0))</f>
        <v/>
      </c>
      <c r="N224" s="8">
        <v>223</v>
      </c>
      <c r="O224" s="49" t="s">
        <v>2377</v>
      </c>
    </row>
    <row r="225" spans="2:15">
      <c r="B225" s="44">
        <f ca="1">VLOOKUP( APIF_Import!$O225, Podesavanja!$N$3:$Q$9, 4, 0)</f>
        <v>3</v>
      </c>
      <c r="C225" s="229">
        <f ca="1">VLOOKUP( APIF_Import!$N225, Aop!$A$2:$P$456, 4, 0)</f>
        <v>286</v>
      </c>
      <c r="D225" s="230" t="str">
        <f ca="1">IF( ISNA( VLOOKUP( APIF_Import!$O225 &amp; APIF_Import!$D$1,Podesavanja!$AA$3:$AD$28, 4, 0)), "", SUBSTITUTE( VALUE( VLOOKUP( APIF_Import!$C225, INDIRECT( "Lookup_" &amp; APIF_Import!$O225), VLOOKUP( APIF_Import!$O225 &amp; APIF_Import!$D$1,Podesavanja!$AA$3:$AD$28, 4, 0), 0)), ".", ","))</f>
        <v>0</v>
      </c>
      <c r="E225" s="230">
        <f ca="1">IF( ISNA( VLOOKUP( APIF_Import!$O225 &amp; APIF_Import!$E$1,Podesavanja!$AA$3:$AD$28, 4, 0)), "", VLOOKUP( APIF_Import!$C225, INDIRECT( "Lookup_" &amp; APIF_Import!$O225), VLOOKUP( APIF_Import!$O225 &amp; APIF_Import!$E$1,Podesavanja!$AA$3:$AD$28, 4, 0), 0))</f>
        <v>0</v>
      </c>
      <c r="F225" s="230" t="str">
        <f ca="1">IF( ISNA( VLOOKUP( APIF_Import!$O225 &amp; APIF_Import!$F$1,Podesavanja!$AA$3:$AD$28, 4, 0)), "", VLOOKUP( APIF_Import!$C225, INDIRECT( "Lookup_" &amp; APIF_Import!$O225), VLOOKUP( APIF_Import!$O225 &amp; APIF_Import!$F$1,Podesavanja!$AA$3:$AD$28, 4, 0), 0))</f>
        <v/>
      </c>
      <c r="G225" s="230" t="str">
        <f ca="1">IF( ISNA( VLOOKUP( APIF_Import!$O225 &amp; APIF_Import!$G$1,Podesavanja!$AA$3:$AD$28, 4, 0)), "", VLOOKUP( APIF_Import!$C225, INDIRECT( "Lookup_" &amp; APIF_Import!$O225), VLOOKUP( APIF_Import!$O225 &amp; APIF_Import!$G$1,Podesavanja!$AA$3:$AD$28, 4, 0), 0))</f>
        <v/>
      </c>
      <c r="H225" s="230" t="str">
        <f ca="1">IF( ISNA( VLOOKUP( APIF_Import!$O225 &amp; APIF_Import!$H$1,Podesavanja!$AA$3:$AD$28, 4, 0)), "", VLOOKUP( APIF_Import!$C225, INDIRECT( "Lookup_" &amp; APIF_Import!$O225), VLOOKUP( APIF_Import!$O225 &amp; APIF_Import!$H$1,Podesavanja!$AA$3:$AD$28, 4, 0), 0))</f>
        <v/>
      </c>
      <c r="I225" s="230" t="str">
        <f ca="1">IF( ISNA( VLOOKUP( APIF_Import!$O225 &amp; APIF_Import!$I$1,Podesavanja!$AA$3:$AD$28, 4, 0)), "", VLOOKUP( APIF_Import!$C225, INDIRECT( "Lookup_" &amp; APIF_Import!$M225:$O225), VLOOKUP( APIF_Import!$O225 &amp; APIF_Import!$I$1,Podesavanja!$AA$3:$AD$28, 4, 0), 0))</f>
        <v/>
      </c>
      <c r="J225" s="230" t="str">
        <f ca="1">IF( ISNA( VLOOKUP( APIF_Import!$O225 &amp; APIF_Import!$J$1,Podesavanja!$AA$3:$AD$28, 4, 0)), "", VLOOKUP( APIF_Import!$C225, INDIRECT( "Lookup_" &amp; APIF_Import!$M225:$O225), VLOOKUP( APIF_Import!$O225 &amp; APIF_Import!$J$1,Podesavanja!$AA$3:$AD$28, 4, 0), 0))</f>
        <v/>
      </c>
      <c r="K225" s="230" t="str">
        <f ca="1">IF( ISNA( VLOOKUP( APIF_Import!$O225 &amp; APIF_Import!$K$1,Podesavanja!$AA$3:$AD$28, 4, 0)), "", VLOOKUP( APIF_Import!$C225, INDIRECT( "Lookup_" &amp; APIF_Import!$M225:$O225), VLOOKUP( APIF_Import!$O225 &amp; APIF_Import!$K$1,Podesavanja!$AA$3:$AD$28, 4, 0), 0))</f>
        <v/>
      </c>
      <c r="L225" s="230" t="str">
        <f ca="1">IF( ISNA( VLOOKUP( APIF_Import!$O225 &amp; APIF_Import!$L$1,Podesavanja!$AA$3:$AD$28, 4, 0)), "", VLOOKUP( APIF_Import!$C225, INDIRECT( "Lookup_" &amp; APIF_Import!$M225:$O225), VLOOKUP( APIF_Import!$O225 &amp; APIF_Import!$L$1,Podesavanja!$AA$3:$AD$28, 4, 0), 0))</f>
        <v/>
      </c>
      <c r="M225" s="230" t="str">
        <f ca="1">IF( ISNA( VLOOKUP( APIF_Import!$O225 &amp; APIF_Import!$M$1,Podesavanja!$AA$3:$AD$28, 4, 0)), "", VLOOKUP( APIF_Import!$C225, INDIRECT( "Lookup_" &amp; APIF_Import!$M225:$O225), VLOOKUP( APIF_Import!$O225 &amp; APIF_Import!$M$1,Podesavanja!$AA$3:$AD$28, 4, 0), 0))</f>
        <v/>
      </c>
      <c r="N225" s="8">
        <v>224</v>
      </c>
      <c r="O225" s="49" t="s">
        <v>2377</v>
      </c>
    </row>
    <row r="226" spans="2:15">
      <c r="B226" s="44">
        <f ca="1">VLOOKUP( APIF_Import!$O226, Podesavanja!$N$3:$Q$9, 4, 0)</f>
        <v>3</v>
      </c>
      <c r="C226" s="229">
        <f ca="1">VLOOKUP( APIF_Import!$N226, Aop!$A$2:$P$456, 4, 0)</f>
        <v>287</v>
      </c>
      <c r="D226" s="230" t="str">
        <f ca="1">IF( ISNA( VLOOKUP( APIF_Import!$O226 &amp; APIF_Import!$D$1,Podesavanja!$AA$3:$AD$28, 4, 0)), "", SUBSTITUTE( VALUE( VLOOKUP( APIF_Import!$C226, INDIRECT( "Lookup_" &amp; APIF_Import!$O226), VLOOKUP( APIF_Import!$O226 &amp; APIF_Import!$D$1,Podesavanja!$AA$3:$AD$28, 4, 0), 0)), ".", ","))</f>
        <v>0</v>
      </c>
      <c r="E226" s="230">
        <f ca="1">IF( ISNA( VLOOKUP( APIF_Import!$O226 &amp; APIF_Import!$E$1,Podesavanja!$AA$3:$AD$28, 4, 0)), "", VLOOKUP( APIF_Import!$C226, INDIRECT( "Lookup_" &amp; APIF_Import!$O226), VLOOKUP( APIF_Import!$O226 &amp; APIF_Import!$E$1,Podesavanja!$AA$3:$AD$28, 4, 0), 0))</f>
        <v>0</v>
      </c>
      <c r="F226" s="230" t="str">
        <f ca="1">IF( ISNA( VLOOKUP( APIF_Import!$O226 &amp; APIF_Import!$F$1,Podesavanja!$AA$3:$AD$28, 4, 0)), "", VLOOKUP( APIF_Import!$C226, INDIRECT( "Lookup_" &amp; APIF_Import!$O226), VLOOKUP( APIF_Import!$O226 &amp; APIF_Import!$F$1,Podesavanja!$AA$3:$AD$28, 4, 0), 0))</f>
        <v/>
      </c>
      <c r="G226" s="230" t="str">
        <f ca="1">IF( ISNA( VLOOKUP( APIF_Import!$O226 &amp; APIF_Import!$G$1,Podesavanja!$AA$3:$AD$28, 4, 0)), "", VLOOKUP( APIF_Import!$C226, INDIRECT( "Lookup_" &amp; APIF_Import!$O226), VLOOKUP( APIF_Import!$O226 &amp; APIF_Import!$G$1,Podesavanja!$AA$3:$AD$28, 4, 0), 0))</f>
        <v/>
      </c>
      <c r="H226" s="230" t="str">
        <f ca="1">IF( ISNA( VLOOKUP( APIF_Import!$O226 &amp; APIF_Import!$H$1,Podesavanja!$AA$3:$AD$28, 4, 0)), "", VLOOKUP( APIF_Import!$C226, INDIRECT( "Lookup_" &amp; APIF_Import!$O226), VLOOKUP( APIF_Import!$O226 &amp; APIF_Import!$H$1,Podesavanja!$AA$3:$AD$28, 4, 0), 0))</f>
        <v/>
      </c>
      <c r="I226" s="230" t="str">
        <f ca="1">IF( ISNA( VLOOKUP( APIF_Import!$O226 &amp; APIF_Import!$I$1,Podesavanja!$AA$3:$AD$28, 4, 0)), "", VLOOKUP( APIF_Import!$C226, INDIRECT( "Lookup_" &amp; APIF_Import!$M226:$O226), VLOOKUP( APIF_Import!$O226 &amp; APIF_Import!$I$1,Podesavanja!$AA$3:$AD$28, 4, 0), 0))</f>
        <v/>
      </c>
      <c r="J226" s="230" t="str">
        <f ca="1">IF( ISNA( VLOOKUP( APIF_Import!$O226 &amp; APIF_Import!$J$1,Podesavanja!$AA$3:$AD$28, 4, 0)), "", VLOOKUP( APIF_Import!$C226, INDIRECT( "Lookup_" &amp; APIF_Import!$M226:$O226), VLOOKUP( APIF_Import!$O226 &amp; APIF_Import!$J$1,Podesavanja!$AA$3:$AD$28, 4, 0), 0))</f>
        <v/>
      </c>
      <c r="K226" s="230" t="str">
        <f ca="1">IF( ISNA( VLOOKUP( APIF_Import!$O226 &amp; APIF_Import!$K$1,Podesavanja!$AA$3:$AD$28, 4, 0)), "", VLOOKUP( APIF_Import!$C226, INDIRECT( "Lookup_" &amp; APIF_Import!$M226:$O226), VLOOKUP( APIF_Import!$O226 &amp; APIF_Import!$K$1,Podesavanja!$AA$3:$AD$28, 4, 0), 0))</f>
        <v/>
      </c>
      <c r="L226" s="230" t="str">
        <f ca="1">IF( ISNA( VLOOKUP( APIF_Import!$O226 &amp; APIF_Import!$L$1,Podesavanja!$AA$3:$AD$28, 4, 0)), "", VLOOKUP( APIF_Import!$C226, INDIRECT( "Lookup_" &amp; APIF_Import!$M226:$O226), VLOOKUP( APIF_Import!$O226 &amp; APIF_Import!$L$1,Podesavanja!$AA$3:$AD$28, 4, 0), 0))</f>
        <v/>
      </c>
      <c r="M226" s="230" t="str">
        <f ca="1">IF( ISNA( VLOOKUP( APIF_Import!$O226 &amp; APIF_Import!$M$1,Podesavanja!$AA$3:$AD$28, 4, 0)), "", VLOOKUP( APIF_Import!$C226, INDIRECT( "Lookup_" &amp; APIF_Import!$M226:$O226), VLOOKUP( APIF_Import!$O226 &amp; APIF_Import!$M$1,Podesavanja!$AA$3:$AD$28, 4, 0), 0))</f>
        <v/>
      </c>
      <c r="N226" s="8">
        <v>225</v>
      </c>
      <c r="O226" s="49" t="s">
        <v>2377</v>
      </c>
    </row>
    <row r="227" spans="2:15">
      <c r="B227" s="44">
        <f ca="1">VLOOKUP( APIF_Import!$O227, Podesavanja!$N$3:$Q$9, 4, 0)</f>
        <v>3</v>
      </c>
      <c r="C227" s="229">
        <f ca="1">VLOOKUP( APIF_Import!$N227, Aop!$A$2:$P$456, 4, 0)</f>
        <v>288</v>
      </c>
      <c r="D227" s="230" t="str">
        <f ca="1">IF( ISNA( VLOOKUP( APIF_Import!$O227 &amp; APIF_Import!$D$1,Podesavanja!$AA$3:$AD$28, 4, 0)), "", SUBSTITUTE( VALUE( VLOOKUP( APIF_Import!$C227, INDIRECT( "Lookup_" &amp; APIF_Import!$O227), VLOOKUP( APIF_Import!$O227 &amp; APIF_Import!$D$1,Podesavanja!$AA$3:$AD$28, 4, 0), 0)), ".", ","))</f>
        <v>0</v>
      </c>
      <c r="E227" s="230">
        <f ca="1">IF( ISNA( VLOOKUP( APIF_Import!$O227 &amp; APIF_Import!$E$1,Podesavanja!$AA$3:$AD$28, 4, 0)), "", VLOOKUP( APIF_Import!$C227, INDIRECT( "Lookup_" &amp; APIF_Import!$O227), VLOOKUP( APIF_Import!$O227 &amp; APIF_Import!$E$1,Podesavanja!$AA$3:$AD$28, 4, 0), 0))</f>
        <v>0</v>
      </c>
      <c r="F227" s="230" t="str">
        <f ca="1">IF( ISNA( VLOOKUP( APIF_Import!$O227 &amp; APIF_Import!$F$1,Podesavanja!$AA$3:$AD$28, 4, 0)), "", VLOOKUP( APIF_Import!$C227, INDIRECT( "Lookup_" &amp; APIF_Import!$O227), VLOOKUP( APIF_Import!$O227 &amp; APIF_Import!$F$1,Podesavanja!$AA$3:$AD$28, 4, 0), 0))</f>
        <v/>
      </c>
      <c r="G227" s="230" t="str">
        <f ca="1">IF( ISNA( VLOOKUP( APIF_Import!$O227 &amp; APIF_Import!$G$1,Podesavanja!$AA$3:$AD$28, 4, 0)), "", VLOOKUP( APIF_Import!$C227, INDIRECT( "Lookup_" &amp; APIF_Import!$O227), VLOOKUP( APIF_Import!$O227 &amp; APIF_Import!$G$1,Podesavanja!$AA$3:$AD$28, 4, 0), 0))</f>
        <v/>
      </c>
      <c r="H227" s="230" t="str">
        <f ca="1">IF( ISNA( VLOOKUP( APIF_Import!$O227 &amp; APIF_Import!$H$1,Podesavanja!$AA$3:$AD$28, 4, 0)), "", VLOOKUP( APIF_Import!$C227, INDIRECT( "Lookup_" &amp; APIF_Import!$O227), VLOOKUP( APIF_Import!$O227 &amp; APIF_Import!$H$1,Podesavanja!$AA$3:$AD$28, 4, 0), 0))</f>
        <v/>
      </c>
      <c r="I227" s="230" t="str">
        <f ca="1">IF( ISNA( VLOOKUP( APIF_Import!$O227 &amp; APIF_Import!$I$1,Podesavanja!$AA$3:$AD$28, 4, 0)), "", VLOOKUP( APIF_Import!$C227, INDIRECT( "Lookup_" &amp; APIF_Import!$M227:$O227), VLOOKUP( APIF_Import!$O227 &amp; APIF_Import!$I$1,Podesavanja!$AA$3:$AD$28, 4, 0), 0))</f>
        <v/>
      </c>
      <c r="J227" s="230" t="str">
        <f ca="1">IF( ISNA( VLOOKUP( APIF_Import!$O227 &amp; APIF_Import!$J$1,Podesavanja!$AA$3:$AD$28, 4, 0)), "", VLOOKUP( APIF_Import!$C227, INDIRECT( "Lookup_" &amp; APIF_Import!$M227:$O227), VLOOKUP( APIF_Import!$O227 &amp; APIF_Import!$J$1,Podesavanja!$AA$3:$AD$28, 4, 0), 0))</f>
        <v/>
      </c>
      <c r="K227" s="230" t="str">
        <f ca="1">IF( ISNA( VLOOKUP( APIF_Import!$O227 &amp; APIF_Import!$K$1,Podesavanja!$AA$3:$AD$28, 4, 0)), "", VLOOKUP( APIF_Import!$C227, INDIRECT( "Lookup_" &amp; APIF_Import!$M227:$O227), VLOOKUP( APIF_Import!$O227 &amp; APIF_Import!$K$1,Podesavanja!$AA$3:$AD$28, 4, 0), 0))</f>
        <v/>
      </c>
      <c r="L227" s="230" t="str">
        <f ca="1">IF( ISNA( VLOOKUP( APIF_Import!$O227 &amp; APIF_Import!$L$1,Podesavanja!$AA$3:$AD$28, 4, 0)), "", VLOOKUP( APIF_Import!$C227, INDIRECT( "Lookup_" &amp; APIF_Import!$M227:$O227), VLOOKUP( APIF_Import!$O227 &amp; APIF_Import!$L$1,Podesavanja!$AA$3:$AD$28, 4, 0), 0))</f>
        <v/>
      </c>
      <c r="M227" s="230" t="str">
        <f ca="1">IF( ISNA( VLOOKUP( APIF_Import!$O227 &amp; APIF_Import!$M$1,Podesavanja!$AA$3:$AD$28, 4, 0)), "", VLOOKUP( APIF_Import!$C227, INDIRECT( "Lookup_" &amp; APIF_Import!$M227:$O227), VLOOKUP( APIF_Import!$O227 &amp; APIF_Import!$M$1,Podesavanja!$AA$3:$AD$28, 4, 0), 0))</f>
        <v/>
      </c>
      <c r="N227" s="8">
        <v>226</v>
      </c>
      <c r="O227" s="49" t="s">
        <v>2377</v>
      </c>
    </row>
    <row r="228" spans="2:15">
      <c r="B228" s="44">
        <f ca="1">VLOOKUP( APIF_Import!$O228, Podesavanja!$N$3:$Q$9, 4, 0)</f>
        <v>3</v>
      </c>
      <c r="C228" s="229">
        <f ca="1">VLOOKUP( APIF_Import!$N228, Aop!$A$2:$P$456, 4, 0)</f>
        <v>289</v>
      </c>
      <c r="D228" s="230" t="str">
        <f ca="1">IF( ISNA( VLOOKUP( APIF_Import!$O228 &amp; APIF_Import!$D$1,Podesavanja!$AA$3:$AD$28, 4, 0)), "", SUBSTITUTE( VALUE( VLOOKUP( APIF_Import!$C228, INDIRECT( "Lookup_" &amp; APIF_Import!$O228), VLOOKUP( APIF_Import!$O228 &amp; APIF_Import!$D$1,Podesavanja!$AA$3:$AD$28, 4, 0), 0)), ".", ","))</f>
        <v>0</v>
      </c>
      <c r="E228" s="230">
        <f ca="1">IF( ISNA( VLOOKUP( APIF_Import!$O228 &amp; APIF_Import!$E$1,Podesavanja!$AA$3:$AD$28, 4, 0)), "", VLOOKUP( APIF_Import!$C228, INDIRECT( "Lookup_" &amp; APIF_Import!$O228), VLOOKUP( APIF_Import!$O228 &amp; APIF_Import!$E$1,Podesavanja!$AA$3:$AD$28, 4, 0), 0))</f>
        <v>0</v>
      </c>
      <c r="F228" s="230" t="str">
        <f ca="1">IF( ISNA( VLOOKUP( APIF_Import!$O228 &amp; APIF_Import!$F$1,Podesavanja!$AA$3:$AD$28, 4, 0)), "", VLOOKUP( APIF_Import!$C228, INDIRECT( "Lookup_" &amp; APIF_Import!$O228), VLOOKUP( APIF_Import!$O228 &amp; APIF_Import!$F$1,Podesavanja!$AA$3:$AD$28, 4, 0), 0))</f>
        <v/>
      </c>
      <c r="G228" s="230" t="str">
        <f ca="1">IF( ISNA( VLOOKUP( APIF_Import!$O228 &amp; APIF_Import!$G$1,Podesavanja!$AA$3:$AD$28, 4, 0)), "", VLOOKUP( APIF_Import!$C228, INDIRECT( "Lookup_" &amp; APIF_Import!$O228), VLOOKUP( APIF_Import!$O228 &amp; APIF_Import!$G$1,Podesavanja!$AA$3:$AD$28, 4, 0), 0))</f>
        <v/>
      </c>
      <c r="H228" s="230" t="str">
        <f ca="1">IF( ISNA( VLOOKUP( APIF_Import!$O228 &amp; APIF_Import!$H$1,Podesavanja!$AA$3:$AD$28, 4, 0)), "", VLOOKUP( APIF_Import!$C228, INDIRECT( "Lookup_" &amp; APIF_Import!$O228), VLOOKUP( APIF_Import!$O228 &amp; APIF_Import!$H$1,Podesavanja!$AA$3:$AD$28, 4, 0), 0))</f>
        <v/>
      </c>
      <c r="I228" s="230" t="str">
        <f ca="1">IF( ISNA( VLOOKUP( APIF_Import!$O228 &amp; APIF_Import!$I$1,Podesavanja!$AA$3:$AD$28, 4, 0)), "", VLOOKUP( APIF_Import!$C228, INDIRECT( "Lookup_" &amp; APIF_Import!$M228:$O228), VLOOKUP( APIF_Import!$O228 &amp; APIF_Import!$I$1,Podesavanja!$AA$3:$AD$28, 4, 0), 0))</f>
        <v/>
      </c>
      <c r="J228" s="230" t="str">
        <f ca="1">IF( ISNA( VLOOKUP( APIF_Import!$O228 &amp; APIF_Import!$J$1,Podesavanja!$AA$3:$AD$28, 4, 0)), "", VLOOKUP( APIF_Import!$C228, INDIRECT( "Lookup_" &amp; APIF_Import!$M228:$O228), VLOOKUP( APIF_Import!$O228 &amp; APIF_Import!$J$1,Podesavanja!$AA$3:$AD$28, 4, 0), 0))</f>
        <v/>
      </c>
      <c r="K228" s="230" t="str">
        <f ca="1">IF( ISNA( VLOOKUP( APIF_Import!$O228 &amp; APIF_Import!$K$1,Podesavanja!$AA$3:$AD$28, 4, 0)), "", VLOOKUP( APIF_Import!$C228, INDIRECT( "Lookup_" &amp; APIF_Import!$M228:$O228), VLOOKUP( APIF_Import!$O228 &amp; APIF_Import!$K$1,Podesavanja!$AA$3:$AD$28, 4, 0), 0))</f>
        <v/>
      </c>
      <c r="L228" s="230" t="str">
        <f ca="1">IF( ISNA( VLOOKUP( APIF_Import!$O228 &amp; APIF_Import!$L$1,Podesavanja!$AA$3:$AD$28, 4, 0)), "", VLOOKUP( APIF_Import!$C228, INDIRECT( "Lookup_" &amp; APIF_Import!$M228:$O228), VLOOKUP( APIF_Import!$O228 &amp; APIF_Import!$L$1,Podesavanja!$AA$3:$AD$28, 4, 0), 0))</f>
        <v/>
      </c>
      <c r="M228" s="230" t="str">
        <f ca="1">IF( ISNA( VLOOKUP( APIF_Import!$O228 &amp; APIF_Import!$M$1,Podesavanja!$AA$3:$AD$28, 4, 0)), "", VLOOKUP( APIF_Import!$C228, INDIRECT( "Lookup_" &amp; APIF_Import!$M228:$O228), VLOOKUP( APIF_Import!$O228 &amp; APIF_Import!$M$1,Podesavanja!$AA$3:$AD$28, 4, 0), 0))</f>
        <v/>
      </c>
      <c r="N228" s="8">
        <v>227</v>
      </c>
      <c r="O228" s="49" t="s">
        <v>2377</v>
      </c>
    </row>
    <row r="229" spans="2:15">
      <c r="B229" s="44">
        <f ca="1">VLOOKUP( APIF_Import!$O229, Podesavanja!$N$3:$Q$9, 4, 0)</f>
        <v>3</v>
      </c>
      <c r="C229" s="229">
        <f ca="1">VLOOKUP( APIF_Import!$N229, Aop!$A$2:$P$456, 4, 0)</f>
        <v>290</v>
      </c>
      <c r="D229" s="230" t="str">
        <f ca="1">IF( ISNA( VLOOKUP( APIF_Import!$O229 &amp; APIF_Import!$D$1,Podesavanja!$AA$3:$AD$28, 4, 0)), "", SUBSTITUTE( VALUE( VLOOKUP( APIF_Import!$C229, INDIRECT( "Lookup_" &amp; APIF_Import!$O229), VLOOKUP( APIF_Import!$O229 &amp; APIF_Import!$D$1,Podesavanja!$AA$3:$AD$28, 4, 0), 0)), ".", ","))</f>
        <v>0</v>
      </c>
      <c r="E229" s="230">
        <f ca="1">IF( ISNA( VLOOKUP( APIF_Import!$O229 &amp; APIF_Import!$E$1,Podesavanja!$AA$3:$AD$28, 4, 0)), "", VLOOKUP( APIF_Import!$C229, INDIRECT( "Lookup_" &amp; APIF_Import!$O229), VLOOKUP( APIF_Import!$O229 &amp; APIF_Import!$E$1,Podesavanja!$AA$3:$AD$28, 4, 0), 0))</f>
        <v>0</v>
      </c>
      <c r="F229" s="230" t="str">
        <f ca="1">IF( ISNA( VLOOKUP( APIF_Import!$O229 &amp; APIF_Import!$F$1,Podesavanja!$AA$3:$AD$28, 4, 0)), "", VLOOKUP( APIF_Import!$C229, INDIRECT( "Lookup_" &amp; APIF_Import!$O229), VLOOKUP( APIF_Import!$O229 &amp; APIF_Import!$F$1,Podesavanja!$AA$3:$AD$28, 4, 0), 0))</f>
        <v/>
      </c>
      <c r="G229" s="230" t="str">
        <f ca="1">IF( ISNA( VLOOKUP( APIF_Import!$O229 &amp; APIF_Import!$G$1,Podesavanja!$AA$3:$AD$28, 4, 0)), "", VLOOKUP( APIF_Import!$C229, INDIRECT( "Lookup_" &amp; APIF_Import!$O229), VLOOKUP( APIF_Import!$O229 &amp; APIF_Import!$G$1,Podesavanja!$AA$3:$AD$28, 4, 0), 0))</f>
        <v/>
      </c>
      <c r="H229" s="230" t="str">
        <f ca="1">IF( ISNA( VLOOKUP( APIF_Import!$O229 &amp; APIF_Import!$H$1,Podesavanja!$AA$3:$AD$28, 4, 0)), "", VLOOKUP( APIF_Import!$C229, INDIRECT( "Lookup_" &amp; APIF_Import!$O229), VLOOKUP( APIF_Import!$O229 &amp; APIF_Import!$H$1,Podesavanja!$AA$3:$AD$28, 4, 0), 0))</f>
        <v/>
      </c>
      <c r="I229" s="230" t="str">
        <f ca="1">IF( ISNA( VLOOKUP( APIF_Import!$O229 &amp; APIF_Import!$I$1,Podesavanja!$AA$3:$AD$28, 4, 0)), "", VLOOKUP( APIF_Import!$C229, INDIRECT( "Lookup_" &amp; APIF_Import!$M229:$O229), VLOOKUP( APIF_Import!$O229 &amp; APIF_Import!$I$1,Podesavanja!$AA$3:$AD$28, 4, 0), 0))</f>
        <v/>
      </c>
      <c r="J229" s="230" t="str">
        <f ca="1">IF( ISNA( VLOOKUP( APIF_Import!$O229 &amp; APIF_Import!$J$1,Podesavanja!$AA$3:$AD$28, 4, 0)), "", VLOOKUP( APIF_Import!$C229, INDIRECT( "Lookup_" &amp; APIF_Import!$M229:$O229), VLOOKUP( APIF_Import!$O229 &amp; APIF_Import!$J$1,Podesavanja!$AA$3:$AD$28, 4, 0), 0))</f>
        <v/>
      </c>
      <c r="K229" s="230" t="str">
        <f ca="1">IF( ISNA( VLOOKUP( APIF_Import!$O229 &amp; APIF_Import!$K$1,Podesavanja!$AA$3:$AD$28, 4, 0)), "", VLOOKUP( APIF_Import!$C229, INDIRECT( "Lookup_" &amp; APIF_Import!$M229:$O229), VLOOKUP( APIF_Import!$O229 &amp; APIF_Import!$K$1,Podesavanja!$AA$3:$AD$28, 4, 0), 0))</f>
        <v/>
      </c>
      <c r="L229" s="230" t="str">
        <f ca="1">IF( ISNA( VLOOKUP( APIF_Import!$O229 &amp; APIF_Import!$L$1,Podesavanja!$AA$3:$AD$28, 4, 0)), "", VLOOKUP( APIF_Import!$C229, INDIRECT( "Lookup_" &amp; APIF_Import!$M229:$O229), VLOOKUP( APIF_Import!$O229 &amp; APIF_Import!$L$1,Podesavanja!$AA$3:$AD$28, 4, 0), 0))</f>
        <v/>
      </c>
      <c r="M229" s="230" t="str">
        <f ca="1">IF( ISNA( VLOOKUP( APIF_Import!$O229 &amp; APIF_Import!$M$1,Podesavanja!$AA$3:$AD$28, 4, 0)), "", VLOOKUP( APIF_Import!$C229, INDIRECT( "Lookup_" &amp; APIF_Import!$M229:$O229), VLOOKUP( APIF_Import!$O229 &amp; APIF_Import!$M$1,Podesavanja!$AA$3:$AD$28, 4, 0), 0))</f>
        <v/>
      </c>
      <c r="N229" s="8">
        <v>228</v>
      </c>
      <c r="O229" s="49" t="s">
        <v>2377</v>
      </c>
    </row>
    <row r="230" spans="2:15">
      <c r="B230" s="44">
        <f ca="1">VLOOKUP( APIF_Import!$O230, Podesavanja!$N$3:$Q$9, 4, 0)</f>
        <v>3</v>
      </c>
      <c r="C230" s="229">
        <f ca="1">VLOOKUP( APIF_Import!$N230, Aop!$A$2:$P$456, 4, 0)</f>
        <v>291</v>
      </c>
      <c r="D230" s="230" t="str">
        <f ca="1">IF( ISNA( VLOOKUP( APIF_Import!$O230 &amp; APIF_Import!$D$1,Podesavanja!$AA$3:$AD$28, 4, 0)), "", SUBSTITUTE( VALUE( VLOOKUP( APIF_Import!$C230, INDIRECT( "Lookup_" &amp; APIF_Import!$O230), VLOOKUP( APIF_Import!$O230 &amp; APIF_Import!$D$1,Podesavanja!$AA$3:$AD$28, 4, 0), 0)), ".", ","))</f>
        <v>0</v>
      </c>
      <c r="E230" s="230">
        <f ca="1">IF( ISNA( VLOOKUP( APIF_Import!$O230 &amp; APIF_Import!$E$1,Podesavanja!$AA$3:$AD$28, 4, 0)), "", VLOOKUP( APIF_Import!$C230, INDIRECT( "Lookup_" &amp; APIF_Import!$O230), VLOOKUP( APIF_Import!$O230 &amp; APIF_Import!$E$1,Podesavanja!$AA$3:$AD$28, 4, 0), 0))</f>
        <v>0</v>
      </c>
      <c r="F230" s="230" t="str">
        <f ca="1">IF( ISNA( VLOOKUP( APIF_Import!$O230 &amp; APIF_Import!$F$1,Podesavanja!$AA$3:$AD$28, 4, 0)), "", VLOOKUP( APIF_Import!$C230, INDIRECT( "Lookup_" &amp; APIF_Import!$O230), VLOOKUP( APIF_Import!$O230 &amp; APIF_Import!$F$1,Podesavanja!$AA$3:$AD$28, 4, 0), 0))</f>
        <v/>
      </c>
      <c r="G230" s="230" t="str">
        <f ca="1">IF( ISNA( VLOOKUP( APIF_Import!$O230 &amp; APIF_Import!$G$1,Podesavanja!$AA$3:$AD$28, 4, 0)), "", VLOOKUP( APIF_Import!$C230, INDIRECT( "Lookup_" &amp; APIF_Import!$O230), VLOOKUP( APIF_Import!$O230 &amp; APIF_Import!$G$1,Podesavanja!$AA$3:$AD$28, 4, 0), 0))</f>
        <v/>
      </c>
      <c r="H230" s="230" t="str">
        <f ca="1">IF( ISNA( VLOOKUP( APIF_Import!$O230 &amp; APIF_Import!$H$1,Podesavanja!$AA$3:$AD$28, 4, 0)), "", VLOOKUP( APIF_Import!$C230, INDIRECT( "Lookup_" &amp; APIF_Import!$O230), VLOOKUP( APIF_Import!$O230 &amp; APIF_Import!$H$1,Podesavanja!$AA$3:$AD$28, 4, 0), 0))</f>
        <v/>
      </c>
      <c r="I230" s="230" t="str">
        <f ca="1">IF( ISNA( VLOOKUP( APIF_Import!$O230 &amp; APIF_Import!$I$1,Podesavanja!$AA$3:$AD$28, 4, 0)), "", VLOOKUP( APIF_Import!$C230, INDIRECT( "Lookup_" &amp; APIF_Import!$M230:$O230), VLOOKUP( APIF_Import!$O230 &amp; APIF_Import!$I$1,Podesavanja!$AA$3:$AD$28, 4, 0), 0))</f>
        <v/>
      </c>
      <c r="J230" s="230" t="str">
        <f ca="1">IF( ISNA( VLOOKUP( APIF_Import!$O230 &amp; APIF_Import!$J$1,Podesavanja!$AA$3:$AD$28, 4, 0)), "", VLOOKUP( APIF_Import!$C230, INDIRECT( "Lookup_" &amp; APIF_Import!$M230:$O230), VLOOKUP( APIF_Import!$O230 &amp; APIF_Import!$J$1,Podesavanja!$AA$3:$AD$28, 4, 0), 0))</f>
        <v/>
      </c>
      <c r="K230" s="230" t="str">
        <f ca="1">IF( ISNA( VLOOKUP( APIF_Import!$O230 &amp; APIF_Import!$K$1,Podesavanja!$AA$3:$AD$28, 4, 0)), "", VLOOKUP( APIF_Import!$C230, INDIRECT( "Lookup_" &amp; APIF_Import!$M230:$O230), VLOOKUP( APIF_Import!$O230 &amp; APIF_Import!$K$1,Podesavanja!$AA$3:$AD$28, 4, 0), 0))</f>
        <v/>
      </c>
      <c r="L230" s="230" t="str">
        <f ca="1">IF( ISNA( VLOOKUP( APIF_Import!$O230 &amp; APIF_Import!$L$1,Podesavanja!$AA$3:$AD$28, 4, 0)), "", VLOOKUP( APIF_Import!$C230, INDIRECT( "Lookup_" &amp; APIF_Import!$M230:$O230), VLOOKUP( APIF_Import!$O230 &amp; APIF_Import!$L$1,Podesavanja!$AA$3:$AD$28, 4, 0), 0))</f>
        <v/>
      </c>
      <c r="M230" s="230" t="str">
        <f ca="1">IF( ISNA( VLOOKUP( APIF_Import!$O230 &amp; APIF_Import!$M$1,Podesavanja!$AA$3:$AD$28, 4, 0)), "", VLOOKUP( APIF_Import!$C230, INDIRECT( "Lookup_" &amp; APIF_Import!$M230:$O230), VLOOKUP( APIF_Import!$O230 &amp; APIF_Import!$M$1,Podesavanja!$AA$3:$AD$28, 4, 0), 0))</f>
        <v/>
      </c>
      <c r="N230" s="8">
        <v>229</v>
      </c>
      <c r="O230" s="49" t="s">
        <v>2377</v>
      </c>
    </row>
    <row r="231" spans="2:15">
      <c r="B231" s="44">
        <f ca="1">VLOOKUP( APIF_Import!$O231, Podesavanja!$N$3:$Q$9, 4, 0)</f>
        <v>3</v>
      </c>
      <c r="C231" s="229">
        <f ca="1">VLOOKUP( APIF_Import!$N231, Aop!$A$2:$P$456, 4, 0)</f>
        <v>292</v>
      </c>
      <c r="D231" s="230" t="str">
        <f ca="1">IF( ISNA( VLOOKUP( APIF_Import!$O231 &amp; APIF_Import!$D$1,Podesavanja!$AA$3:$AD$28, 4, 0)), "", SUBSTITUTE( VALUE( VLOOKUP( APIF_Import!$C231, INDIRECT( "Lookup_" &amp; APIF_Import!$O231), VLOOKUP( APIF_Import!$O231 &amp; APIF_Import!$D$1,Podesavanja!$AA$3:$AD$28, 4, 0), 0)), ".", ","))</f>
        <v>0</v>
      </c>
      <c r="E231" s="230">
        <f ca="1">IF( ISNA( VLOOKUP( APIF_Import!$O231 &amp; APIF_Import!$E$1,Podesavanja!$AA$3:$AD$28, 4, 0)), "", VLOOKUP( APIF_Import!$C231, INDIRECT( "Lookup_" &amp; APIF_Import!$O231), VLOOKUP( APIF_Import!$O231 &amp; APIF_Import!$E$1,Podesavanja!$AA$3:$AD$28, 4, 0), 0))</f>
        <v>0</v>
      </c>
      <c r="F231" s="230" t="str">
        <f ca="1">IF( ISNA( VLOOKUP( APIF_Import!$O231 &amp; APIF_Import!$F$1,Podesavanja!$AA$3:$AD$28, 4, 0)), "", VLOOKUP( APIF_Import!$C231, INDIRECT( "Lookup_" &amp; APIF_Import!$O231), VLOOKUP( APIF_Import!$O231 &amp; APIF_Import!$F$1,Podesavanja!$AA$3:$AD$28, 4, 0), 0))</f>
        <v/>
      </c>
      <c r="G231" s="230" t="str">
        <f ca="1">IF( ISNA( VLOOKUP( APIF_Import!$O231 &amp; APIF_Import!$G$1,Podesavanja!$AA$3:$AD$28, 4, 0)), "", VLOOKUP( APIF_Import!$C231, INDIRECT( "Lookup_" &amp; APIF_Import!$O231), VLOOKUP( APIF_Import!$O231 &amp; APIF_Import!$G$1,Podesavanja!$AA$3:$AD$28, 4, 0), 0))</f>
        <v/>
      </c>
      <c r="H231" s="230" t="str">
        <f ca="1">IF( ISNA( VLOOKUP( APIF_Import!$O231 &amp; APIF_Import!$H$1,Podesavanja!$AA$3:$AD$28, 4, 0)), "", VLOOKUP( APIF_Import!$C231, INDIRECT( "Lookup_" &amp; APIF_Import!$O231), VLOOKUP( APIF_Import!$O231 &amp; APIF_Import!$H$1,Podesavanja!$AA$3:$AD$28, 4, 0), 0))</f>
        <v/>
      </c>
      <c r="I231" s="230" t="str">
        <f ca="1">IF( ISNA( VLOOKUP( APIF_Import!$O231 &amp; APIF_Import!$I$1,Podesavanja!$AA$3:$AD$28, 4, 0)), "", VLOOKUP( APIF_Import!$C231, INDIRECT( "Lookup_" &amp; APIF_Import!$M231:$O231), VLOOKUP( APIF_Import!$O231 &amp; APIF_Import!$I$1,Podesavanja!$AA$3:$AD$28, 4, 0), 0))</f>
        <v/>
      </c>
      <c r="J231" s="230" t="str">
        <f ca="1">IF( ISNA( VLOOKUP( APIF_Import!$O231 &amp; APIF_Import!$J$1,Podesavanja!$AA$3:$AD$28, 4, 0)), "", VLOOKUP( APIF_Import!$C231, INDIRECT( "Lookup_" &amp; APIF_Import!$M231:$O231), VLOOKUP( APIF_Import!$O231 &amp; APIF_Import!$J$1,Podesavanja!$AA$3:$AD$28, 4, 0), 0))</f>
        <v/>
      </c>
      <c r="K231" s="230" t="str">
        <f ca="1">IF( ISNA( VLOOKUP( APIF_Import!$O231 &amp; APIF_Import!$K$1,Podesavanja!$AA$3:$AD$28, 4, 0)), "", VLOOKUP( APIF_Import!$C231, INDIRECT( "Lookup_" &amp; APIF_Import!$M231:$O231), VLOOKUP( APIF_Import!$O231 &amp; APIF_Import!$K$1,Podesavanja!$AA$3:$AD$28, 4, 0), 0))</f>
        <v/>
      </c>
      <c r="L231" s="230" t="str">
        <f ca="1">IF( ISNA( VLOOKUP( APIF_Import!$O231 &amp; APIF_Import!$L$1,Podesavanja!$AA$3:$AD$28, 4, 0)), "", VLOOKUP( APIF_Import!$C231, INDIRECT( "Lookup_" &amp; APIF_Import!$M231:$O231), VLOOKUP( APIF_Import!$O231 &amp; APIF_Import!$L$1,Podesavanja!$AA$3:$AD$28, 4, 0), 0))</f>
        <v/>
      </c>
      <c r="M231" s="230" t="str">
        <f ca="1">IF( ISNA( VLOOKUP( APIF_Import!$O231 &amp; APIF_Import!$M$1,Podesavanja!$AA$3:$AD$28, 4, 0)), "", VLOOKUP( APIF_Import!$C231, INDIRECT( "Lookup_" &amp; APIF_Import!$M231:$O231), VLOOKUP( APIF_Import!$O231 &amp; APIF_Import!$M$1,Podesavanja!$AA$3:$AD$28, 4, 0), 0))</f>
        <v/>
      </c>
      <c r="N231" s="8">
        <v>230</v>
      </c>
      <c r="O231" s="49" t="s">
        <v>2377</v>
      </c>
    </row>
    <row r="232" spans="2:15">
      <c r="B232" s="44">
        <f ca="1">VLOOKUP( APIF_Import!$O232, Podesavanja!$N$3:$Q$9, 4, 0)</f>
        <v>3</v>
      </c>
      <c r="C232" s="229">
        <f ca="1">VLOOKUP( APIF_Import!$N232, Aop!$A$2:$P$456, 4, 0)</f>
        <v>293</v>
      </c>
      <c r="D232" s="230" t="str">
        <f ca="1">IF( ISNA( VLOOKUP( APIF_Import!$O232 &amp; APIF_Import!$D$1,Podesavanja!$AA$3:$AD$28, 4, 0)), "", SUBSTITUTE( VALUE( VLOOKUP( APIF_Import!$C232, INDIRECT( "Lookup_" &amp; APIF_Import!$O232), VLOOKUP( APIF_Import!$O232 &amp; APIF_Import!$D$1,Podesavanja!$AA$3:$AD$28, 4, 0), 0)), ".", ","))</f>
        <v>0</v>
      </c>
      <c r="E232" s="230">
        <f ca="1">IF( ISNA( VLOOKUP( APIF_Import!$O232 &amp; APIF_Import!$E$1,Podesavanja!$AA$3:$AD$28, 4, 0)), "", VLOOKUP( APIF_Import!$C232, INDIRECT( "Lookup_" &amp; APIF_Import!$O232), VLOOKUP( APIF_Import!$O232 &amp; APIF_Import!$E$1,Podesavanja!$AA$3:$AD$28, 4, 0), 0))</f>
        <v>0</v>
      </c>
      <c r="F232" s="230" t="str">
        <f ca="1">IF( ISNA( VLOOKUP( APIF_Import!$O232 &amp; APIF_Import!$F$1,Podesavanja!$AA$3:$AD$28, 4, 0)), "", VLOOKUP( APIF_Import!$C232, INDIRECT( "Lookup_" &amp; APIF_Import!$O232), VLOOKUP( APIF_Import!$O232 &amp; APIF_Import!$F$1,Podesavanja!$AA$3:$AD$28, 4, 0), 0))</f>
        <v/>
      </c>
      <c r="G232" s="230" t="str">
        <f ca="1">IF( ISNA( VLOOKUP( APIF_Import!$O232 &amp; APIF_Import!$G$1,Podesavanja!$AA$3:$AD$28, 4, 0)), "", VLOOKUP( APIF_Import!$C232, INDIRECT( "Lookup_" &amp; APIF_Import!$O232), VLOOKUP( APIF_Import!$O232 &amp; APIF_Import!$G$1,Podesavanja!$AA$3:$AD$28, 4, 0), 0))</f>
        <v/>
      </c>
      <c r="H232" s="230" t="str">
        <f ca="1">IF( ISNA( VLOOKUP( APIF_Import!$O232 &amp; APIF_Import!$H$1,Podesavanja!$AA$3:$AD$28, 4, 0)), "", VLOOKUP( APIF_Import!$C232, INDIRECT( "Lookup_" &amp; APIF_Import!$O232), VLOOKUP( APIF_Import!$O232 &amp; APIF_Import!$H$1,Podesavanja!$AA$3:$AD$28, 4, 0), 0))</f>
        <v/>
      </c>
      <c r="I232" s="230" t="str">
        <f ca="1">IF( ISNA( VLOOKUP( APIF_Import!$O232 &amp; APIF_Import!$I$1,Podesavanja!$AA$3:$AD$28, 4, 0)), "", VLOOKUP( APIF_Import!$C232, INDIRECT( "Lookup_" &amp; APIF_Import!$M232:$O232), VLOOKUP( APIF_Import!$O232 &amp; APIF_Import!$I$1,Podesavanja!$AA$3:$AD$28, 4, 0), 0))</f>
        <v/>
      </c>
      <c r="J232" s="230" t="str">
        <f ca="1">IF( ISNA( VLOOKUP( APIF_Import!$O232 &amp; APIF_Import!$J$1,Podesavanja!$AA$3:$AD$28, 4, 0)), "", VLOOKUP( APIF_Import!$C232, INDIRECT( "Lookup_" &amp; APIF_Import!$M232:$O232), VLOOKUP( APIF_Import!$O232 &amp; APIF_Import!$J$1,Podesavanja!$AA$3:$AD$28, 4, 0), 0))</f>
        <v/>
      </c>
      <c r="K232" s="230" t="str">
        <f ca="1">IF( ISNA( VLOOKUP( APIF_Import!$O232 &amp; APIF_Import!$K$1,Podesavanja!$AA$3:$AD$28, 4, 0)), "", VLOOKUP( APIF_Import!$C232, INDIRECT( "Lookup_" &amp; APIF_Import!$M232:$O232), VLOOKUP( APIF_Import!$O232 &amp; APIF_Import!$K$1,Podesavanja!$AA$3:$AD$28, 4, 0), 0))</f>
        <v/>
      </c>
      <c r="L232" s="230" t="str">
        <f ca="1">IF( ISNA( VLOOKUP( APIF_Import!$O232 &amp; APIF_Import!$L$1,Podesavanja!$AA$3:$AD$28, 4, 0)), "", VLOOKUP( APIF_Import!$C232, INDIRECT( "Lookup_" &amp; APIF_Import!$M232:$O232), VLOOKUP( APIF_Import!$O232 &amp; APIF_Import!$L$1,Podesavanja!$AA$3:$AD$28, 4, 0), 0))</f>
        <v/>
      </c>
      <c r="M232" s="230" t="str">
        <f ca="1">IF( ISNA( VLOOKUP( APIF_Import!$O232 &amp; APIF_Import!$M$1,Podesavanja!$AA$3:$AD$28, 4, 0)), "", VLOOKUP( APIF_Import!$C232, INDIRECT( "Lookup_" &amp; APIF_Import!$M232:$O232), VLOOKUP( APIF_Import!$O232 &amp; APIF_Import!$M$1,Podesavanja!$AA$3:$AD$28, 4, 0), 0))</f>
        <v/>
      </c>
      <c r="N232" s="8">
        <v>231</v>
      </c>
      <c r="O232" s="49" t="s">
        <v>2377</v>
      </c>
    </row>
    <row r="233" spans="2:15">
      <c r="B233" s="44">
        <f ca="1">VLOOKUP( APIF_Import!$O233, Podesavanja!$N$3:$Q$9, 4, 0)</f>
        <v>3</v>
      </c>
      <c r="C233" s="229">
        <f ca="1">VLOOKUP( APIF_Import!$N233, Aop!$A$2:$P$456, 4, 0)</f>
        <v>294</v>
      </c>
      <c r="D233" s="230" t="str">
        <f ca="1">IF( ISNA( VLOOKUP( APIF_Import!$O233 &amp; APIF_Import!$D$1,Podesavanja!$AA$3:$AD$28, 4, 0)), "", SUBSTITUTE( VALUE( VLOOKUP( APIF_Import!$C233, INDIRECT( "Lookup_" &amp; APIF_Import!$O233), VLOOKUP( APIF_Import!$O233 &amp; APIF_Import!$D$1,Podesavanja!$AA$3:$AD$28, 4, 0), 0)), ".", ","))</f>
        <v>0</v>
      </c>
      <c r="E233" s="230">
        <f ca="1">IF( ISNA( VLOOKUP( APIF_Import!$O233 &amp; APIF_Import!$E$1,Podesavanja!$AA$3:$AD$28, 4, 0)), "", VLOOKUP( APIF_Import!$C233, INDIRECT( "Lookup_" &amp; APIF_Import!$O233), VLOOKUP( APIF_Import!$O233 &amp; APIF_Import!$E$1,Podesavanja!$AA$3:$AD$28, 4, 0), 0))</f>
        <v>0</v>
      </c>
      <c r="F233" s="230" t="str">
        <f ca="1">IF( ISNA( VLOOKUP( APIF_Import!$O233 &amp; APIF_Import!$F$1,Podesavanja!$AA$3:$AD$28, 4, 0)), "", VLOOKUP( APIF_Import!$C233, INDIRECT( "Lookup_" &amp; APIF_Import!$O233), VLOOKUP( APIF_Import!$O233 &amp; APIF_Import!$F$1,Podesavanja!$AA$3:$AD$28, 4, 0), 0))</f>
        <v/>
      </c>
      <c r="G233" s="230" t="str">
        <f ca="1">IF( ISNA( VLOOKUP( APIF_Import!$O233 &amp; APIF_Import!$G$1,Podesavanja!$AA$3:$AD$28, 4, 0)), "", VLOOKUP( APIF_Import!$C233, INDIRECT( "Lookup_" &amp; APIF_Import!$O233), VLOOKUP( APIF_Import!$O233 &amp; APIF_Import!$G$1,Podesavanja!$AA$3:$AD$28, 4, 0), 0))</f>
        <v/>
      </c>
      <c r="H233" s="230" t="str">
        <f ca="1">IF( ISNA( VLOOKUP( APIF_Import!$O233 &amp; APIF_Import!$H$1,Podesavanja!$AA$3:$AD$28, 4, 0)), "", VLOOKUP( APIF_Import!$C233, INDIRECT( "Lookup_" &amp; APIF_Import!$O233), VLOOKUP( APIF_Import!$O233 &amp; APIF_Import!$H$1,Podesavanja!$AA$3:$AD$28, 4, 0), 0))</f>
        <v/>
      </c>
      <c r="I233" s="230" t="str">
        <f ca="1">IF( ISNA( VLOOKUP( APIF_Import!$O233 &amp; APIF_Import!$I$1,Podesavanja!$AA$3:$AD$28, 4, 0)), "", VLOOKUP( APIF_Import!$C233, INDIRECT( "Lookup_" &amp; APIF_Import!$M233:$O233), VLOOKUP( APIF_Import!$O233 &amp; APIF_Import!$I$1,Podesavanja!$AA$3:$AD$28, 4, 0), 0))</f>
        <v/>
      </c>
      <c r="J233" s="230" t="str">
        <f ca="1">IF( ISNA( VLOOKUP( APIF_Import!$O233 &amp; APIF_Import!$J$1,Podesavanja!$AA$3:$AD$28, 4, 0)), "", VLOOKUP( APIF_Import!$C233, INDIRECT( "Lookup_" &amp; APIF_Import!$M233:$O233), VLOOKUP( APIF_Import!$O233 &amp; APIF_Import!$J$1,Podesavanja!$AA$3:$AD$28, 4, 0), 0))</f>
        <v/>
      </c>
      <c r="K233" s="230" t="str">
        <f ca="1">IF( ISNA( VLOOKUP( APIF_Import!$O233 &amp; APIF_Import!$K$1,Podesavanja!$AA$3:$AD$28, 4, 0)), "", VLOOKUP( APIF_Import!$C233, INDIRECT( "Lookup_" &amp; APIF_Import!$M233:$O233), VLOOKUP( APIF_Import!$O233 &amp; APIF_Import!$K$1,Podesavanja!$AA$3:$AD$28, 4, 0), 0))</f>
        <v/>
      </c>
      <c r="L233" s="230" t="str">
        <f ca="1">IF( ISNA( VLOOKUP( APIF_Import!$O233 &amp; APIF_Import!$L$1,Podesavanja!$AA$3:$AD$28, 4, 0)), "", VLOOKUP( APIF_Import!$C233, INDIRECT( "Lookup_" &amp; APIF_Import!$M233:$O233), VLOOKUP( APIF_Import!$O233 &amp; APIF_Import!$L$1,Podesavanja!$AA$3:$AD$28, 4, 0), 0))</f>
        <v/>
      </c>
      <c r="M233" s="230" t="str">
        <f ca="1">IF( ISNA( VLOOKUP( APIF_Import!$O233 &amp; APIF_Import!$M$1,Podesavanja!$AA$3:$AD$28, 4, 0)), "", VLOOKUP( APIF_Import!$C233, INDIRECT( "Lookup_" &amp; APIF_Import!$M233:$O233), VLOOKUP( APIF_Import!$O233 &amp; APIF_Import!$M$1,Podesavanja!$AA$3:$AD$28, 4, 0), 0))</f>
        <v/>
      </c>
      <c r="N233" s="8">
        <v>232</v>
      </c>
      <c r="O233" s="49" t="s">
        <v>2377</v>
      </c>
    </row>
    <row r="234" spans="2:15">
      <c r="B234" s="44">
        <f ca="1">VLOOKUP( APIF_Import!$O234, Podesavanja!$N$3:$Q$9, 4, 0)</f>
        <v>3</v>
      </c>
      <c r="C234" s="229">
        <f ca="1">VLOOKUP( APIF_Import!$N234, Aop!$A$2:$P$456, 4, 0)</f>
        <v>295</v>
      </c>
      <c r="D234" s="230" t="str">
        <f ca="1">IF( ISNA( VLOOKUP( APIF_Import!$O234 &amp; APIF_Import!$D$1,Podesavanja!$AA$3:$AD$28, 4, 0)), "", SUBSTITUTE( VALUE( VLOOKUP( APIF_Import!$C234, INDIRECT( "Lookup_" &amp; APIF_Import!$O234), VLOOKUP( APIF_Import!$O234 &amp; APIF_Import!$D$1,Podesavanja!$AA$3:$AD$28, 4, 0), 0)), ".", ","))</f>
        <v>0</v>
      </c>
      <c r="E234" s="230">
        <f ca="1">IF( ISNA( VLOOKUP( APIF_Import!$O234 &amp; APIF_Import!$E$1,Podesavanja!$AA$3:$AD$28, 4, 0)), "", VLOOKUP( APIF_Import!$C234, INDIRECT( "Lookup_" &amp; APIF_Import!$O234), VLOOKUP( APIF_Import!$O234 &amp; APIF_Import!$E$1,Podesavanja!$AA$3:$AD$28, 4, 0), 0))</f>
        <v>0</v>
      </c>
      <c r="F234" s="230" t="str">
        <f ca="1">IF( ISNA( VLOOKUP( APIF_Import!$O234 &amp; APIF_Import!$F$1,Podesavanja!$AA$3:$AD$28, 4, 0)), "", VLOOKUP( APIF_Import!$C234, INDIRECT( "Lookup_" &amp; APIF_Import!$O234), VLOOKUP( APIF_Import!$O234 &amp; APIF_Import!$F$1,Podesavanja!$AA$3:$AD$28, 4, 0), 0))</f>
        <v/>
      </c>
      <c r="G234" s="230" t="str">
        <f ca="1">IF( ISNA( VLOOKUP( APIF_Import!$O234 &amp; APIF_Import!$G$1,Podesavanja!$AA$3:$AD$28, 4, 0)), "", VLOOKUP( APIF_Import!$C234, INDIRECT( "Lookup_" &amp; APIF_Import!$O234), VLOOKUP( APIF_Import!$O234 &amp; APIF_Import!$G$1,Podesavanja!$AA$3:$AD$28, 4, 0), 0))</f>
        <v/>
      </c>
      <c r="H234" s="230" t="str">
        <f ca="1">IF( ISNA( VLOOKUP( APIF_Import!$O234 &amp; APIF_Import!$H$1,Podesavanja!$AA$3:$AD$28, 4, 0)), "", VLOOKUP( APIF_Import!$C234, INDIRECT( "Lookup_" &amp; APIF_Import!$O234), VLOOKUP( APIF_Import!$O234 &amp; APIF_Import!$H$1,Podesavanja!$AA$3:$AD$28, 4, 0), 0))</f>
        <v/>
      </c>
      <c r="I234" s="230" t="str">
        <f ca="1">IF( ISNA( VLOOKUP( APIF_Import!$O234 &amp; APIF_Import!$I$1,Podesavanja!$AA$3:$AD$28, 4, 0)), "", VLOOKUP( APIF_Import!$C234, INDIRECT( "Lookup_" &amp; APIF_Import!$M234:$O234), VLOOKUP( APIF_Import!$O234 &amp; APIF_Import!$I$1,Podesavanja!$AA$3:$AD$28, 4, 0), 0))</f>
        <v/>
      </c>
      <c r="J234" s="230" t="str">
        <f ca="1">IF( ISNA( VLOOKUP( APIF_Import!$O234 &amp; APIF_Import!$J$1,Podesavanja!$AA$3:$AD$28, 4, 0)), "", VLOOKUP( APIF_Import!$C234, INDIRECT( "Lookup_" &amp; APIF_Import!$M234:$O234), VLOOKUP( APIF_Import!$O234 &amp; APIF_Import!$J$1,Podesavanja!$AA$3:$AD$28, 4, 0), 0))</f>
        <v/>
      </c>
      <c r="K234" s="230" t="str">
        <f ca="1">IF( ISNA( VLOOKUP( APIF_Import!$O234 &amp; APIF_Import!$K$1,Podesavanja!$AA$3:$AD$28, 4, 0)), "", VLOOKUP( APIF_Import!$C234, INDIRECT( "Lookup_" &amp; APIF_Import!$M234:$O234), VLOOKUP( APIF_Import!$O234 &amp; APIF_Import!$K$1,Podesavanja!$AA$3:$AD$28, 4, 0), 0))</f>
        <v/>
      </c>
      <c r="L234" s="230" t="str">
        <f ca="1">IF( ISNA( VLOOKUP( APIF_Import!$O234 &amp; APIF_Import!$L$1,Podesavanja!$AA$3:$AD$28, 4, 0)), "", VLOOKUP( APIF_Import!$C234, INDIRECT( "Lookup_" &amp; APIF_Import!$M234:$O234), VLOOKUP( APIF_Import!$O234 &amp; APIF_Import!$L$1,Podesavanja!$AA$3:$AD$28, 4, 0), 0))</f>
        <v/>
      </c>
      <c r="M234" s="230" t="str">
        <f ca="1">IF( ISNA( VLOOKUP( APIF_Import!$O234 &amp; APIF_Import!$M$1,Podesavanja!$AA$3:$AD$28, 4, 0)), "", VLOOKUP( APIF_Import!$C234, INDIRECT( "Lookup_" &amp; APIF_Import!$M234:$O234), VLOOKUP( APIF_Import!$O234 &amp; APIF_Import!$M$1,Podesavanja!$AA$3:$AD$28, 4, 0), 0))</f>
        <v/>
      </c>
      <c r="N234" s="8">
        <v>233</v>
      </c>
      <c r="O234" s="49" t="s">
        <v>2377</v>
      </c>
    </row>
    <row r="235" spans="2:15">
      <c r="B235" s="44">
        <f ca="1">VLOOKUP( APIF_Import!$O235, Podesavanja!$N$3:$Q$9, 4, 0)</f>
        <v>3</v>
      </c>
      <c r="C235" s="229">
        <f ca="1">VLOOKUP( APIF_Import!$N235, Aop!$A$2:$P$456, 4, 0)</f>
        <v>296</v>
      </c>
      <c r="D235" s="230" t="str">
        <f ca="1">IF( ISNA( VLOOKUP( APIF_Import!$O235 &amp; APIF_Import!$D$1,Podesavanja!$AA$3:$AD$28, 4, 0)), "", SUBSTITUTE( VALUE( VLOOKUP( APIF_Import!$C235, INDIRECT( "Lookup_" &amp; APIF_Import!$O235), VLOOKUP( APIF_Import!$O235 &amp; APIF_Import!$D$1,Podesavanja!$AA$3:$AD$28, 4, 0), 0)), ".", ","))</f>
        <v>0</v>
      </c>
      <c r="E235" s="230">
        <f ca="1">IF( ISNA( VLOOKUP( APIF_Import!$O235 &amp; APIF_Import!$E$1,Podesavanja!$AA$3:$AD$28, 4, 0)), "", VLOOKUP( APIF_Import!$C235, INDIRECT( "Lookup_" &amp; APIF_Import!$O235), VLOOKUP( APIF_Import!$O235 &amp; APIF_Import!$E$1,Podesavanja!$AA$3:$AD$28, 4, 0), 0))</f>
        <v>0</v>
      </c>
      <c r="F235" s="230" t="str">
        <f ca="1">IF( ISNA( VLOOKUP( APIF_Import!$O235 &amp; APIF_Import!$F$1,Podesavanja!$AA$3:$AD$28, 4, 0)), "", VLOOKUP( APIF_Import!$C235, INDIRECT( "Lookup_" &amp; APIF_Import!$O235), VLOOKUP( APIF_Import!$O235 &amp; APIF_Import!$F$1,Podesavanja!$AA$3:$AD$28, 4, 0), 0))</f>
        <v/>
      </c>
      <c r="G235" s="230" t="str">
        <f ca="1">IF( ISNA( VLOOKUP( APIF_Import!$O235 &amp; APIF_Import!$G$1,Podesavanja!$AA$3:$AD$28, 4, 0)), "", VLOOKUP( APIF_Import!$C235, INDIRECT( "Lookup_" &amp; APIF_Import!$O235), VLOOKUP( APIF_Import!$O235 &amp; APIF_Import!$G$1,Podesavanja!$AA$3:$AD$28, 4, 0), 0))</f>
        <v/>
      </c>
      <c r="H235" s="230" t="str">
        <f ca="1">IF( ISNA( VLOOKUP( APIF_Import!$O235 &amp; APIF_Import!$H$1,Podesavanja!$AA$3:$AD$28, 4, 0)), "", VLOOKUP( APIF_Import!$C235, INDIRECT( "Lookup_" &amp; APIF_Import!$O235), VLOOKUP( APIF_Import!$O235 &amp; APIF_Import!$H$1,Podesavanja!$AA$3:$AD$28, 4, 0), 0))</f>
        <v/>
      </c>
      <c r="I235" s="230" t="str">
        <f ca="1">IF( ISNA( VLOOKUP( APIF_Import!$O235 &amp; APIF_Import!$I$1,Podesavanja!$AA$3:$AD$28, 4, 0)), "", VLOOKUP( APIF_Import!$C235, INDIRECT( "Lookup_" &amp; APIF_Import!$M235:$O235), VLOOKUP( APIF_Import!$O235 &amp; APIF_Import!$I$1,Podesavanja!$AA$3:$AD$28, 4, 0), 0))</f>
        <v/>
      </c>
      <c r="J235" s="230" t="str">
        <f ca="1">IF( ISNA( VLOOKUP( APIF_Import!$O235 &amp; APIF_Import!$J$1,Podesavanja!$AA$3:$AD$28, 4, 0)), "", VLOOKUP( APIF_Import!$C235, INDIRECT( "Lookup_" &amp; APIF_Import!$M235:$O235), VLOOKUP( APIF_Import!$O235 &amp; APIF_Import!$J$1,Podesavanja!$AA$3:$AD$28, 4, 0), 0))</f>
        <v/>
      </c>
      <c r="K235" s="230" t="str">
        <f ca="1">IF( ISNA( VLOOKUP( APIF_Import!$O235 &amp; APIF_Import!$K$1,Podesavanja!$AA$3:$AD$28, 4, 0)), "", VLOOKUP( APIF_Import!$C235, INDIRECT( "Lookup_" &amp; APIF_Import!$M235:$O235), VLOOKUP( APIF_Import!$O235 &amp; APIF_Import!$K$1,Podesavanja!$AA$3:$AD$28, 4, 0), 0))</f>
        <v/>
      </c>
      <c r="L235" s="230" t="str">
        <f ca="1">IF( ISNA( VLOOKUP( APIF_Import!$O235 &amp; APIF_Import!$L$1,Podesavanja!$AA$3:$AD$28, 4, 0)), "", VLOOKUP( APIF_Import!$C235, INDIRECT( "Lookup_" &amp; APIF_Import!$M235:$O235), VLOOKUP( APIF_Import!$O235 &amp; APIF_Import!$L$1,Podesavanja!$AA$3:$AD$28, 4, 0), 0))</f>
        <v/>
      </c>
      <c r="M235" s="230" t="str">
        <f ca="1">IF( ISNA( VLOOKUP( APIF_Import!$O235 &amp; APIF_Import!$M$1,Podesavanja!$AA$3:$AD$28, 4, 0)), "", VLOOKUP( APIF_Import!$C235, INDIRECT( "Lookup_" &amp; APIF_Import!$M235:$O235), VLOOKUP( APIF_Import!$O235 &amp; APIF_Import!$M$1,Podesavanja!$AA$3:$AD$28, 4, 0), 0))</f>
        <v/>
      </c>
      <c r="N235" s="8">
        <v>234</v>
      </c>
      <c r="O235" s="49" t="s">
        <v>2377</v>
      </c>
    </row>
    <row r="236" spans="2:15">
      <c r="B236" s="44">
        <f ca="1">VLOOKUP( APIF_Import!$O236, Podesavanja!$N$3:$Q$9, 4, 0)</f>
        <v>3</v>
      </c>
      <c r="C236" s="229">
        <f ca="1">VLOOKUP( APIF_Import!$N236, Aop!$A$2:$P$456, 4, 0)</f>
        <v>297</v>
      </c>
      <c r="D236" s="230" t="str">
        <f ca="1">IF( ISNA( VLOOKUP( APIF_Import!$O236 &amp; APIF_Import!$D$1,Podesavanja!$AA$3:$AD$28, 4, 0)), "", SUBSTITUTE( VALUE( VLOOKUP( APIF_Import!$C236, INDIRECT( "Lookup_" &amp; APIF_Import!$O236), VLOOKUP( APIF_Import!$O236 &amp; APIF_Import!$D$1,Podesavanja!$AA$3:$AD$28, 4, 0), 0)), ".", ","))</f>
        <v>0</v>
      </c>
      <c r="E236" s="230">
        <f ca="1">IF( ISNA( VLOOKUP( APIF_Import!$O236 &amp; APIF_Import!$E$1,Podesavanja!$AA$3:$AD$28, 4, 0)), "", VLOOKUP( APIF_Import!$C236, INDIRECT( "Lookup_" &amp; APIF_Import!$O236), VLOOKUP( APIF_Import!$O236 &amp; APIF_Import!$E$1,Podesavanja!$AA$3:$AD$28, 4, 0), 0))</f>
        <v>0</v>
      </c>
      <c r="F236" s="230" t="str">
        <f ca="1">IF( ISNA( VLOOKUP( APIF_Import!$O236 &amp; APIF_Import!$F$1,Podesavanja!$AA$3:$AD$28, 4, 0)), "", VLOOKUP( APIF_Import!$C236, INDIRECT( "Lookup_" &amp; APIF_Import!$O236), VLOOKUP( APIF_Import!$O236 &amp; APIF_Import!$F$1,Podesavanja!$AA$3:$AD$28, 4, 0), 0))</f>
        <v/>
      </c>
      <c r="G236" s="230" t="str">
        <f ca="1">IF( ISNA( VLOOKUP( APIF_Import!$O236 &amp; APIF_Import!$G$1,Podesavanja!$AA$3:$AD$28, 4, 0)), "", VLOOKUP( APIF_Import!$C236, INDIRECT( "Lookup_" &amp; APIF_Import!$O236), VLOOKUP( APIF_Import!$O236 &amp; APIF_Import!$G$1,Podesavanja!$AA$3:$AD$28, 4, 0), 0))</f>
        <v/>
      </c>
      <c r="H236" s="230" t="str">
        <f ca="1">IF( ISNA( VLOOKUP( APIF_Import!$O236 &amp; APIF_Import!$H$1,Podesavanja!$AA$3:$AD$28, 4, 0)), "", VLOOKUP( APIF_Import!$C236, INDIRECT( "Lookup_" &amp; APIF_Import!$O236), VLOOKUP( APIF_Import!$O236 &amp; APIF_Import!$H$1,Podesavanja!$AA$3:$AD$28, 4, 0), 0))</f>
        <v/>
      </c>
      <c r="I236" s="230" t="str">
        <f ca="1">IF( ISNA( VLOOKUP( APIF_Import!$O236 &amp; APIF_Import!$I$1,Podesavanja!$AA$3:$AD$28, 4, 0)), "", VLOOKUP( APIF_Import!$C236, INDIRECT( "Lookup_" &amp; APIF_Import!$M236:$O236), VLOOKUP( APIF_Import!$O236 &amp; APIF_Import!$I$1,Podesavanja!$AA$3:$AD$28, 4, 0), 0))</f>
        <v/>
      </c>
      <c r="J236" s="230" t="str">
        <f ca="1">IF( ISNA( VLOOKUP( APIF_Import!$O236 &amp; APIF_Import!$J$1,Podesavanja!$AA$3:$AD$28, 4, 0)), "", VLOOKUP( APIF_Import!$C236, INDIRECT( "Lookup_" &amp; APIF_Import!$M236:$O236), VLOOKUP( APIF_Import!$O236 &amp; APIF_Import!$J$1,Podesavanja!$AA$3:$AD$28, 4, 0), 0))</f>
        <v/>
      </c>
      <c r="K236" s="230" t="str">
        <f ca="1">IF( ISNA( VLOOKUP( APIF_Import!$O236 &amp; APIF_Import!$K$1,Podesavanja!$AA$3:$AD$28, 4, 0)), "", VLOOKUP( APIF_Import!$C236, INDIRECT( "Lookup_" &amp; APIF_Import!$M236:$O236), VLOOKUP( APIF_Import!$O236 &amp; APIF_Import!$K$1,Podesavanja!$AA$3:$AD$28, 4, 0), 0))</f>
        <v/>
      </c>
      <c r="L236" s="230" t="str">
        <f ca="1">IF( ISNA( VLOOKUP( APIF_Import!$O236 &amp; APIF_Import!$L$1,Podesavanja!$AA$3:$AD$28, 4, 0)), "", VLOOKUP( APIF_Import!$C236, INDIRECT( "Lookup_" &amp; APIF_Import!$M236:$O236), VLOOKUP( APIF_Import!$O236 &amp; APIF_Import!$L$1,Podesavanja!$AA$3:$AD$28, 4, 0), 0))</f>
        <v/>
      </c>
      <c r="M236" s="230" t="str">
        <f ca="1">IF( ISNA( VLOOKUP( APIF_Import!$O236 &amp; APIF_Import!$M$1,Podesavanja!$AA$3:$AD$28, 4, 0)), "", VLOOKUP( APIF_Import!$C236, INDIRECT( "Lookup_" &amp; APIF_Import!$M236:$O236), VLOOKUP( APIF_Import!$O236 &amp; APIF_Import!$M$1,Podesavanja!$AA$3:$AD$28, 4, 0), 0))</f>
        <v/>
      </c>
      <c r="N236" s="8">
        <v>235</v>
      </c>
      <c r="O236" s="49" t="s">
        <v>2377</v>
      </c>
    </row>
    <row r="237" spans="2:15">
      <c r="B237" s="44">
        <f ca="1">VLOOKUP( APIF_Import!$O237, Podesavanja!$N$3:$Q$9, 4, 0)</f>
        <v>3</v>
      </c>
      <c r="C237" s="229">
        <f ca="1">VLOOKUP( APIF_Import!$N237, Aop!$A$2:$P$456, 4, 0)</f>
        <v>298</v>
      </c>
      <c r="D237" s="230" t="str">
        <f ca="1">IF( ISNA( VLOOKUP( APIF_Import!$O237 &amp; APIF_Import!$D$1,Podesavanja!$AA$3:$AD$28, 4, 0)), "", SUBSTITUTE( VALUE( VLOOKUP( APIF_Import!$C237, INDIRECT( "Lookup_" &amp; APIF_Import!$O237), VLOOKUP( APIF_Import!$O237 &amp; APIF_Import!$D$1,Podesavanja!$AA$3:$AD$28, 4, 0), 0)), ".", ","))</f>
        <v>0</v>
      </c>
      <c r="E237" s="230">
        <f ca="1">IF( ISNA( VLOOKUP( APIF_Import!$O237 &amp; APIF_Import!$E$1,Podesavanja!$AA$3:$AD$28, 4, 0)), "", VLOOKUP( APIF_Import!$C237, INDIRECT( "Lookup_" &amp; APIF_Import!$O237), VLOOKUP( APIF_Import!$O237 &amp; APIF_Import!$E$1,Podesavanja!$AA$3:$AD$28, 4, 0), 0))</f>
        <v>0</v>
      </c>
      <c r="F237" s="230" t="str">
        <f ca="1">IF( ISNA( VLOOKUP( APIF_Import!$O237 &amp; APIF_Import!$F$1,Podesavanja!$AA$3:$AD$28, 4, 0)), "", VLOOKUP( APIF_Import!$C237, INDIRECT( "Lookup_" &amp; APIF_Import!$O237), VLOOKUP( APIF_Import!$O237 &amp; APIF_Import!$F$1,Podesavanja!$AA$3:$AD$28, 4, 0), 0))</f>
        <v/>
      </c>
      <c r="G237" s="230" t="str">
        <f ca="1">IF( ISNA( VLOOKUP( APIF_Import!$O237 &amp; APIF_Import!$G$1,Podesavanja!$AA$3:$AD$28, 4, 0)), "", VLOOKUP( APIF_Import!$C237, INDIRECT( "Lookup_" &amp; APIF_Import!$O237), VLOOKUP( APIF_Import!$O237 &amp; APIF_Import!$G$1,Podesavanja!$AA$3:$AD$28, 4, 0), 0))</f>
        <v/>
      </c>
      <c r="H237" s="230" t="str">
        <f ca="1">IF( ISNA( VLOOKUP( APIF_Import!$O237 &amp; APIF_Import!$H$1,Podesavanja!$AA$3:$AD$28, 4, 0)), "", VLOOKUP( APIF_Import!$C237, INDIRECT( "Lookup_" &amp; APIF_Import!$O237), VLOOKUP( APIF_Import!$O237 &amp; APIF_Import!$H$1,Podesavanja!$AA$3:$AD$28, 4, 0), 0))</f>
        <v/>
      </c>
      <c r="I237" s="230" t="str">
        <f ca="1">IF( ISNA( VLOOKUP( APIF_Import!$O237 &amp; APIF_Import!$I$1,Podesavanja!$AA$3:$AD$28, 4, 0)), "", VLOOKUP( APIF_Import!$C237, INDIRECT( "Lookup_" &amp; APIF_Import!$M237:$O237), VLOOKUP( APIF_Import!$O237 &amp; APIF_Import!$I$1,Podesavanja!$AA$3:$AD$28, 4, 0), 0))</f>
        <v/>
      </c>
      <c r="J237" s="230" t="str">
        <f ca="1">IF( ISNA( VLOOKUP( APIF_Import!$O237 &amp; APIF_Import!$J$1,Podesavanja!$AA$3:$AD$28, 4, 0)), "", VLOOKUP( APIF_Import!$C237, INDIRECT( "Lookup_" &amp; APIF_Import!$M237:$O237), VLOOKUP( APIF_Import!$O237 &amp; APIF_Import!$J$1,Podesavanja!$AA$3:$AD$28, 4, 0), 0))</f>
        <v/>
      </c>
      <c r="K237" s="230" t="str">
        <f ca="1">IF( ISNA( VLOOKUP( APIF_Import!$O237 &amp; APIF_Import!$K$1,Podesavanja!$AA$3:$AD$28, 4, 0)), "", VLOOKUP( APIF_Import!$C237, INDIRECT( "Lookup_" &amp; APIF_Import!$M237:$O237), VLOOKUP( APIF_Import!$O237 &amp; APIF_Import!$K$1,Podesavanja!$AA$3:$AD$28, 4, 0), 0))</f>
        <v/>
      </c>
      <c r="L237" s="230" t="str">
        <f ca="1">IF( ISNA( VLOOKUP( APIF_Import!$O237 &amp; APIF_Import!$L$1,Podesavanja!$AA$3:$AD$28, 4, 0)), "", VLOOKUP( APIF_Import!$C237, INDIRECT( "Lookup_" &amp; APIF_Import!$M237:$O237), VLOOKUP( APIF_Import!$O237 &amp; APIF_Import!$L$1,Podesavanja!$AA$3:$AD$28, 4, 0), 0))</f>
        <v/>
      </c>
      <c r="M237" s="230" t="str">
        <f ca="1">IF( ISNA( VLOOKUP( APIF_Import!$O237 &amp; APIF_Import!$M$1,Podesavanja!$AA$3:$AD$28, 4, 0)), "", VLOOKUP( APIF_Import!$C237, INDIRECT( "Lookup_" &amp; APIF_Import!$M237:$O237), VLOOKUP( APIF_Import!$O237 &amp; APIF_Import!$M$1,Podesavanja!$AA$3:$AD$28, 4, 0), 0))</f>
        <v/>
      </c>
      <c r="N237" s="8">
        <v>236</v>
      </c>
      <c r="O237" s="49" t="s">
        <v>2377</v>
      </c>
    </row>
    <row r="238" spans="2:15">
      <c r="B238" s="44">
        <f ca="1">VLOOKUP( APIF_Import!$O238, Podesavanja!$N$3:$Q$9, 4, 0)</f>
        <v>3</v>
      </c>
      <c r="C238" s="229">
        <f ca="1">VLOOKUP( APIF_Import!$N238, Aop!$A$2:$P$456, 4, 0)</f>
        <v>299</v>
      </c>
      <c r="D238" s="230" t="str">
        <f ca="1">IF( ISNA( VLOOKUP( APIF_Import!$O238 &amp; APIF_Import!$D$1,Podesavanja!$AA$3:$AD$28, 4, 0)), "", SUBSTITUTE( VALUE( VLOOKUP( APIF_Import!$C238, INDIRECT( "Lookup_" &amp; APIF_Import!$O238), VLOOKUP( APIF_Import!$O238 &amp; APIF_Import!$D$1,Podesavanja!$AA$3:$AD$28, 4, 0), 0)), ".", ","))</f>
        <v>11450</v>
      </c>
      <c r="E238" s="230">
        <f ca="1">IF( ISNA( VLOOKUP( APIF_Import!$O238 &amp; APIF_Import!$E$1,Podesavanja!$AA$3:$AD$28, 4, 0)), "", VLOOKUP( APIF_Import!$C238, INDIRECT( "Lookup_" &amp; APIF_Import!$O238), VLOOKUP( APIF_Import!$O238 &amp; APIF_Import!$E$1,Podesavanja!$AA$3:$AD$28, 4, 0), 0))</f>
        <v>0</v>
      </c>
      <c r="F238" s="230" t="str">
        <f ca="1">IF( ISNA( VLOOKUP( APIF_Import!$O238 &amp; APIF_Import!$F$1,Podesavanja!$AA$3:$AD$28, 4, 0)), "", VLOOKUP( APIF_Import!$C238, INDIRECT( "Lookup_" &amp; APIF_Import!$O238), VLOOKUP( APIF_Import!$O238 &amp; APIF_Import!$F$1,Podesavanja!$AA$3:$AD$28, 4, 0), 0))</f>
        <v/>
      </c>
      <c r="G238" s="230" t="str">
        <f ca="1">IF( ISNA( VLOOKUP( APIF_Import!$O238 &amp; APIF_Import!$G$1,Podesavanja!$AA$3:$AD$28, 4, 0)), "", VLOOKUP( APIF_Import!$C238, INDIRECT( "Lookup_" &amp; APIF_Import!$O238), VLOOKUP( APIF_Import!$O238 &amp; APIF_Import!$G$1,Podesavanja!$AA$3:$AD$28, 4, 0), 0))</f>
        <v/>
      </c>
      <c r="H238" s="230" t="str">
        <f ca="1">IF( ISNA( VLOOKUP( APIF_Import!$O238 &amp; APIF_Import!$H$1,Podesavanja!$AA$3:$AD$28, 4, 0)), "", VLOOKUP( APIF_Import!$C238, INDIRECT( "Lookup_" &amp; APIF_Import!$O238), VLOOKUP( APIF_Import!$O238 &amp; APIF_Import!$H$1,Podesavanja!$AA$3:$AD$28, 4, 0), 0))</f>
        <v/>
      </c>
      <c r="I238" s="230" t="str">
        <f ca="1">IF( ISNA( VLOOKUP( APIF_Import!$O238 &amp; APIF_Import!$I$1,Podesavanja!$AA$3:$AD$28, 4, 0)), "", VLOOKUP( APIF_Import!$C238, INDIRECT( "Lookup_" &amp; APIF_Import!$M238:$O238), VLOOKUP( APIF_Import!$O238 &amp; APIF_Import!$I$1,Podesavanja!$AA$3:$AD$28, 4, 0), 0))</f>
        <v/>
      </c>
      <c r="J238" s="230" t="str">
        <f ca="1">IF( ISNA( VLOOKUP( APIF_Import!$O238 &amp; APIF_Import!$J$1,Podesavanja!$AA$3:$AD$28, 4, 0)), "", VLOOKUP( APIF_Import!$C238, INDIRECT( "Lookup_" &amp; APIF_Import!$M238:$O238), VLOOKUP( APIF_Import!$O238 &amp; APIF_Import!$J$1,Podesavanja!$AA$3:$AD$28, 4, 0), 0))</f>
        <v/>
      </c>
      <c r="K238" s="230" t="str">
        <f ca="1">IF( ISNA( VLOOKUP( APIF_Import!$O238 &amp; APIF_Import!$K$1,Podesavanja!$AA$3:$AD$28, 4, 0)), "", VLOOKUP( APIF_Import!$C238, INDIRECT( "Lookup_" &amp; APIF_Import!$M238:$O238), VLOOKUP( APIF_Import!$O238 &amp; APIF_Import!$K$1,Podesavanja!$AA$3:$AD$28, 4, 0), 0))</f>
        <v/>
      </c>
      <c r="L238" s="230" t="str">
        <f ca="1">IF( ISNA( VLOOKUP( APIF_Import!$O238 &amp; APIF_Import!$L$1,Podesavanja!$AA$3:$AD$28, 4, 0)), "", VLOOKUP( APIF_Import!$C238, INDIRECT( "Lookup_" &amp; APIF_Import!$M238:$O238), VLOOKUP( APIF_Import!$O238 &amp; APIF_Import!$L$1,Podesavanja!$AA$3:$AD$28, 4, 0), 0))</f>
        <v/>
      </c>
      <c r="M238" s="230" t="str">
        <f ca="1">IF( ISNA( VLOOKUP( APIF_Import!$O238 &amp; APIF_Import!$M$1,Podesavanja!$AA$3:$AD$28, 4, 0)), "", VLOOKUP( APIF_Import!$C238, INDIRECT( "Lookup_" &amp; APIF_Import!$M238:$O238), VLOOKUP( APIF_Import!$O238 &amp; APIF_Import!$M$1,Podesavanja!$AA$3:$AD$28, 4, 0), 0))</f>
        <v/>
      </c>
      <c r="N238" s="8">
        <v>237</v>
      </c>
      <c r="O238" s="49" t="s">
        <v>2377</v>
      </c>
    </row>
    <row r="239" spans="2:15">
      <c r="B239" s="44">
        <f ca="1">VLOOKUP( APIF_Import!$O239, Podesavanja!$N$3:$Q$9, 4, 0)</f>
        <v>3</v>
      </c>
      <c r="C239" s="229">
        <f ca="1">VLOOKUP( APIF_Import!$N239, Aop!$A$2:$P$456, 4, 0)</f>
        <v>300</v>
      </c>
      <c r="D239" s="230" t="str">
        <f ca="1">IF( ISNA( VLOOKUP( APIF_Import!$O239 &amp; APIF_Import!$D$1,Podesavanja!$AA$3:$AD$28, 4, 0)), "", SUBSTITUTE( VALUE( VLOOKUP( APIF_Import!$C239, INDIRECT( "Lookup_" &amp; APIF_Import!$O239), VLOOKUP( APIF_Import!$O239 &amp; APIF_Import!$D$1,Podesavanja!$AA$3:$AD$28, 4, 0), 0)), ".", ","))</f>
        <v>0</v>
      </c>
      <c r="E239" s="230">
        <f ca="1">IF( ISNA( VLOOKUP( APIF_Import!$O239 &amp; APIF_Import!$E$1,Podesavanja!$AA$3:$AD$28, 4, 0)), "", VLOOKUP( APIF_Import!$C239, INDIRECT( "Lookup_" &amp; APIF_Import!$O239), VLOOKUP( APIF_Import!$O239 &amp; APIF_Import!$E$1,Podesavanja!$AA$3:$AD$28, 4, 0), 0))</f>
        <v>0</v>
      </c>
      <c r="F239" s="230" t="str">
        <f ca="1">IF( ISNA( VLOOKUP( APIF_Import!$O239 &amp; APIF_Import!$F$1,Podesavanja!$AA$3:$AD$28, 4, 0)), "", VLOOKUP( APIF_Import!$C239, INDIRECT( "Lookup_" &amp; APIF_Import!$O239), VLOOKUP( APIF_Import!$O239 &amp; APIF_Import!$F$1,Podesavanja!$AA$3:$AD$28, 4, 0), 0))</f>
        <v/>
      </c>
      <c r="G239" s="230" t="str">
        <f ca="1">IF( ISNA( VLOOKUP( APIF_Import!$O239 &amp; APIF_Import!$G$1,Podesavanja!$AA$3:$AD$28, 4, 0)), "", VLOOKUP( APIF_Import!$C239, INDIRECT( "Lookup_" &amp; APIF_Import!$O239), VLOOKUP( APIF_Import!$O239 &amp; APIF_Import!$G$1,Podesavanja!$AA$3:$AD$28, 4, 0), 0))</f>
        <v/>
      </c>
      <c r="H239" s="230" t="str">
        <f ca="1">IF( ISNA( VLOOKUP( APIF_Import!$O239 &amp; APIF_Import!$H$1,Podesavanja!$AA$3:$AD$28, 4, 0)), "", VLOOKUP( APIF_Import!$C239, INDIRECT( "Lookup_" &amp; APIF_Import!$O239), VLOOKUP( APIF_Import!$O239 &amp; APIF_Import!$H$1,Podesavanja!$AA$3:$AD$28, 4, 0), 0))</f>
        <v/>
      </c>
      <c r="I239" s="230" t="str">
        <f ca="1">IF( ISNA( VLOOKUP( APIF_Import!$O239 &amp; APIF_Import!$I$1,Podesavanja!$AA$3:$AD$28, 4, 0)), "", VLOOKUP( APIF_Import!$C239, INDIRECT( "Lookup_" &amp; APIF_Import!$M239:$O239), VLOOKUP( APIF_Import!$O239 &amp; APIF_Import!$I$1,Podesavanja!$AA$3:$AD$28, 4, 0), 0))</f>
        <v/>
      </c>
      <c r="J239" s="230" t="str">
        <f ca="1">IF( ISNA( VLOOKUP( APIF_Import!$O239 &amp; APIF_Import!$J$1,Podesavanja!$AA$3:$AD$28, 4, 0)), "", VLOOKUP( APIF_Import!$C239, INDIRECT( "Lookup_" &amp; APIF_Import!$M239:$O239), VLOOKUP( APIF_Import!$O239 &amp; APIF_Import!$J$1,Podesavanja!$AA$3:$AD$28, 4, 0), 0))</f>
        <v/>
      </c>
      <c r="K239" s="230" t="str">
        <f ca="1">IF( ISNA( VLOOKUP( APIF_Import!$O239 &amp; APIF_Import!$K$1,Podesavanja!$AA$3:$AD$28, 4, 0)), "", VLOOKUP( APIF_Import!$C239, INDIRECT( "Lookup_" &amp; APIF_Import!$M239:$O239), VLOOKUP( APIF_Import!$O239 &amp; APIF_Import!$K$1,Podesavanja!$AA$3:$AD$28, 4, 0), 0))</f>
        <v/>
      </c>
      <c r="L239" s="230" t="str">
        <f ca="1">IF( ISNA( VLOOKUP( APIF_Import!$O239 &amp; APIF_Import!$L$1,Podesavanja!$AA$3:$AD$28, 4, 0)), "", VLOOKUP( APIF_Import!$C239, INDIRECT( "Lookup_" &amp; APIF_Import!$M239:$O239), VLOOKUP( APIF_Import!$O239 &amp; APIF_Import!$L$1,Podesavanja!$AA$3:$AD$28, 4, 0), 0))</f>
        <v/>
      </c>
      <c r="M239" s="230" t="str">
        <f ca="1">IF( ISNA( VLOOKUP( APIF_Import!$O239 &amp; APIF_Import!$M$1,Podesavanja!$AA$3:$AD$28, 4, 0)), "", VLOOKUP( APIF_Import!$C239, INDIRECT( "Lookup_" &amp; APIF_Import!$M239:$O239), VLOOKUP( APIF_Import!$O239 &amp; APIF_Import!$M$1,Podesavanja!$AA$3:$AD$28, 4, 0), 0))</f>
        <v/>
      </c>
      <c r="N239" s="8">
        <v>238</v>
      </c>
      <c r="O239" s="49" t="s">
        <v>2377</v>
      </c>
    </row>
    <row r="240" spans="2:15">
      <c r="B240" s="44">
        <f ca="1">VLOOKUP( APIF_Import!$O240, Podesavanja!$N$3:$Q$9, 4, 0)</f>
        <v>3</v>
      </c>
      <c r="C240" s="229">
        <f ca="1">VLOOKUP( APIF_Import!$N240, Aop!$A$2:$P$456, 4, 0)</f>
        <v>301</v>
      </c>
      <c r="D240" s="230" t="str">
        <f ca="1">IF( ISNA( VLOOKUP( APIF_Import!$O240 &amp; APIF_Import!$D$1,Podesavanja!$AA$3:$AD$28, 4, 0)), "", SUBSTITUTE( VALUE( VLOOKUP( APIF_Import!$C240, INDIRECT( "Lookup_" &amp; APIF_Import!$O240), VLOOKUP( APIF_Import!$O240 &amp; APIF_Import!$D$1,Podesavanja!$AA$3:$AD$28, 4, 0), 0)), ".", ","))</f>
        <v>0</v>
      </c>
      <c r="E240" s="230">
        <f ca="1">IF( ISNA( VLOOKUP( APIF_Import!$O240 &amp; APIF_Import!$E$1,Podesavanja!$AA$3:$AD$28, 4, 0)), "", VLOOKUP( APIF_Import!$C240, INDIRECT( "Lookup_" &amp; APIF_Import!$O240), VLOOKUP( APIF_Import!$O240 &amp; APIF_Import!$E$1,Podesavanja!$AA$3:$AD$28, 4, 0), 0))</f>
        <v>0</v>
      </c>
      <c r="F240" s="230" t="str">
        <f ca="1">IF( ISNA( VLOOKUP( APIF_Import!$O240 &amp; APIF_Import!$F$1,Podesavanja!$AA$3:$AD$28, 4, 0)), "", VLOOKUP( APIF_Import!$C240, INDIRECT( "Lookup_" &amp; APIF_Import!$O240), VLOOKUP( APIF_Import!$O240 &amp; APIF_Import!$F$1,Podesavanja!$AA$3:$AD$28, 4, 0), 0))</f>
        <v/>
      </c>
      <c r="G240" s="230" t="str">
        <f ca="1">IF( ISNA( VLOOKUP( APIF_Import!$O240 &amp; APIF_Import!$G$1,Podesavanja!$AA$3:$AD$28, 4, 0)), "", VLOOKUP( APIF_Import!$C240, INDIRECT( "Lookup_" &amp; APIF_Import!$O240), VLOOKUP( APIF_Import!$O240 &amp; APIF_Import!$G$1,Podesavanja!$AA$3:$AD$28, 4, 0), 0))</f>
        <v/>
      </c>
      <c r="H240" s="230" t="str">
        <f ca="1">IF( ISNA( VLOOKUP( APIF_Import!$O240 &amp; APIF_Import!$H$1,Podesavanja!$AA$3:$AD$28, 4, 0)), "", VLOOKUP( APIF_Import!$C240, INDIRECT( "Lookup_" &amp; APIF_Import!$O240), VLOOKUP( APIF_Import!$O240 &amp; APIF_Import!$H$1,Podesavanja!$AA$3:$AD$28, 4, 0), 0))</f>
        <v/>
      </c>
      <c r="I240" s="230" t="str">
        <f ca="1">IF( ISNA( VLOOKUP( APIF_Import!$O240 &amp; APIF_Import!$I$1,Podesavanja!$AA$3:$AD$28, 4, 0)), "", VLOOKUP( APIF_Import!$C240, INDIRECT( "Lookup_" &amp; APIF_Import!$M240:$O240), VLOOKUP( APIF_Import!$O240 &amp; APIF_Import!$I$1,Podesavanja!$AA$3:$AD$28, 4, 0), 0))</f>
        <v/>
      </c>
      <c r="J240" s="230" t="str">
        <f ca="1">IF( ISNA( VLOOKUP( APIF_Import!$O240 &amp; APIF_Import!$J$1,Podesavanja!$AA$3:$AD$28, 4, 0)), "", VLOOKUP( APIF_Import!$C240, INDIRECT( "Lookup_" &amp; APIF_Import!$M240:$O240), VLOOKUP( APIF_Import!$O240 &amp; APIF_Import!$J$1,Podesavanja!$AA$3:$AD$28, 4, 0), 0))</f>
        <v/>
      </c>
      <c r="K240" s="230" t="str">
        <f ca="1">IF( ISNA( VLOOKUP( APIF_Import!$O240 &amp; APIF_Import!$K$1,Podesavanja!$AA$3:$AD$28, 4, 0)), "", VLOOKUP( APIF_Import!$C240, INDIRECT( "Lookup_" &amp; APIF_Import!$M240:$O240), VLOOKUP( APIF_Import!$O240 &amp; APIF_Import!$K$1,Podesavanja!$AA$3:$AD$28, 4, 0), 0))</f>
        <v/>
      </c>
      <c r="L240" s="230" t="str">
        <f ca="1">IF( ISNA( VLOOKUP( APIF_Import!$O240 &amp; APIF_Import!$L$1,Podesavanja!$AA$3:$AD$28, 4, 0)), "", VLOOKUP( APIF_Import!$C240, INDIRECT( "Lookup_" &amp; APIF_Import!$M240:$O240), VLOOKUP( APIF_Import!$O240 &amp; APIF_Import!$L$1,Podesavanja!$AA$3:$AD$28, 4, 0), 0))</f>
        <v/>
      </c>
      <c r="M240" s="230" t="str">
        <f ca="1">IF( ISNA( VLOOKUP( APIF_Import!$O240 &amp; APIF_Import!$M$1,Podesavanja!$AA$3:$AD$28, 4, 0)), "", VLOOKUP( APIF_Import!$C240, INDIRECT( "Lookup_" &amp; APIF_Import!$M240:$O240), VLOOKUP( APIF_Import!$O240 &amp; APIF_Import!$M$1,Podesavanja!$AA$3:$AD$28, 4, 0), 0))</f>
        <v/>
      </c>
      <c r="N240" s="8">
        <v>239</v>
      </c>
      <c r="O240" s="49" t="s">
        <v>2377</v>
      </c>
    </row>
    <row r="241" spans="2:15">
      <c r="B241" s="44">
        <f ca="1">VLOOKUP( APIF_Import!$O241, Podesavanja!$N$3:$Q$9, 4, 0)</f>
        <v>3</v>
      </c>
      <c r="C241" s="229">
        <f ca="1">VLOOKUP( APIF_Import!$N241, Aop!$A$2:$P$456, 4, 0)</f>
        <v>302</v>
      </c>
      <c r="D241" s="230" t="str">
        <f ca="1">IF( ISNA( VLOOKUP( APIF_Import!$O241 &amp; APIF_Import!$D$1,Podesavanja!$AA$3:$AD$28, 4, 0)), "", SUBSTITUTE( VALUE( VLOOKUP( APIF_Import!$C241, INDIRECT( "Lookup_" &amp; APIF_Import!$O241), VLOOKUP( APIF_Import!$O241 &amp; APIF_Import!$D$1,Podesavanja!$AA$3:$AD$28, 4, 0), 0)), ".", ","))</f>
        <v>0</v>
      </c>
      <c r="E241" s="230">
        <f ca="1">IF( ISNA( VLOOKUP( APIF_Import!$O241 &amp; APIF_Import!$E$1,Podesavanja!$AA$3:$AD$28, 4, 0)), "", VLOOKUP( APIF_Import!$C241, INDIRECT( "Lookup_" &amp; APIF_Import!$O241), VLOOKUP( APIF_Import!$O241 &amp; APIF_Import!$E$1,Podesavanja!$AA$3:$AD$28, 4, 0), 0))</f>
        <v>0</v>
      </c>
      <c r="F241" s="230" t="str">
        <f ca="1">IF( ISNA( VLOOKUP( APIF_Import!$O241 &amp; APIF_Import!$F$1,Podesavanja!$AA$3:$AD$28, 4, 0)), "", VLOOKUP( APIF_Import!$C241, INDIRECT( "Lookup_" &amp; APIF_Import!$O241), VLOOKUP( APIF_Import!$O241 &amp; APIF_Import!$F$1,Podesavanja!$AA$3:$AD$28, 4, 0), 0))</f>
        <v/>
      </c>
      <c r="G241" s="230" t="str">
        <f ca="1">IF( ISNA( VLOOKUP( APIF_Import!$O241 &amp; APIF_Import!$G$1,Podesavanja!$AA$3:$AD$28, 4, 0)), "", VLOOKUP( APIF_Import!$C241, INDIRECT( "Lookup_" &amp; APIF_Import!$O241), VLOOKUP( APIF_Import!$O241 &amp; APIF_Import!$G$1,Podesavanja!$AA$3:$AD$28, 4, 0), 0))</f>
        <v/>
      </c>
      <c r="H241" s="230" t="str">
        <f ca="1">IF( ISNA( VLOOKUP( APIF_Import!$O241 &amp; APIF_Import!$H$1,Podesavanja!$AA$3:$AD$28, 4, 0)), "", VLOOKUP( APIF_Import!$C241, INDIRECT( "Lookup_" &amp; APIF_Import!$O241), VLOOKUP( APIF_Import!$O241 &amp; APIF_Import!$H$1,Podesavanja!$AA$3:$AD$28, 4, 0), 0))</f>
        <v/>
      </c>
      <c r="I241" s="230" t="str">
        <f ca="1">IF( ISNA( VLOOKUP( APIF_Import!$O241 &amp; APIF_Import!$I$1,Podesavanja!$AA$3:$AD$28, 4, 0)), "", VLOOKUP( APIF_Import!$C241, INDIRECT( "Lookup_" &amp; APIF_Import!$M241:$O241), VLOOKUP( APIF_Import!$O241 &amp; APIF_Import!$I$1,Podesavanja!$AA$3:$AD$28, 4, 0), 0))</f>
        <v/>
      </c>
      <c r="J241" s="230" t="str">
        <f ca="1">IF( ISNA( VLOOKUP( APIF_Import!$O241 &amp; APIF_Import!$J$1,Podesavanja!$AA$3:$AD$28, 4, 0)), "", VLOOKUP( APIF_Import!$C241, INDIRECT( "Lookup_" &amp; APIF_Import!$M241:$O241), VLOOKUP( APIF_Import!$O241 &amp; APIF_Import!$J$1,Podesavanja!$AA$3:$AD$28, 4, 0), 0))</f>
        <v/>
      </c>
      <c r="K241" s="230" t="str">
        <f ca="1">IF( ISNA( VLOOKUP( APIF_Import!$O241 &amp; APIF_Import!$K$1,Podesavanja!$AA$3:$AD$28, 4, 0)), "", VLOOKUP( APIF_Import!$C241, INDIRECT( "Lookup_" &amp; APIF_Import!$M241:$O241), VLOOKUP( APIF_Import!$O241 &amp; APIF_Import!$K$1,Podesavanja!$AA$3:$AD$28, 4, 0), 0))</f>
        <v/>
      </c>
      <c r="L241" s="230" t="str">
        <f ca="1">IF( ISNA( VLOOKUP( APIF_Import!$O241 &amp; APIF_Import!$L$1,Podesavanja!$AA$3:$AD$28, 4, 0)), "", VLOOKUP( APIF_Import!$C241, INDIRECT( "Lookup_" &amp; APIF_Import!$M241:$O241), VLOOKUP( APIF_Import!$O241 &amp; APIF_Import!$L$1,Podesavanja!$AA$3:$AD$28, 4, 0), 0))</f>
        <v/>
      </c>
      <c r="M241" s="230" t="str">
        <f ca="1">IF( ISNA( VLOOKUP( APIF_Import!$O241 &amp; APIF_Import!$M$1,Podesavanja!$AA$3:$AD$28, 4, 0)), "", VLOOKUP( APIF_Import!$C241, INDIRECT( "Lookup_" &amp; APIF_Import!$M241:$O241), VLOOKUP( APIF_Import!$O241 &amp; APIF_Import!$M$1,Podesavanja!$AA$3:$AD$28, 4, 0), 0))</f>
        <v/>
      </c>
      <c r="N241" s="8">
        <v>240</v>
      </c>
      <c r="O241" s="49" t="s">
        <v>2377</v>
      </c>
    </row>
    <row r="242" spans="2:15">
      <c r="B242" s="44">
        <f ca="1">VLOOKUP( APIF_Import!$O242, Podesavanja!$N$3:$Q$9, 4, 0)</f>
        <v>3</v>
      </c>
      <c r="C242" s="229">
        <f ca="1">VLOOKUP( APIF_Import!$N242, Aop!$A$2:$P$456, 4, 0)</f>
        <v>303</v>
      </c>
      <c r="D242" s="230" t="str">
        <f ca="1">IF( ISNA( VLOOKUP( APIF_Import!$O242 &amp; APIF_Import!$D$1,Podesavanja!$AA$3:$AD$28, 4, 0)), "", SUBSTITUTE( VALUE( VLOOKUP( APIF_Import!$C242, INDIRECT( "Lookup_" &amp; APIF_Import!$O242), VLOOKUP( APIF_Import!$O242 &amp; APIF_Import!$D$1,Podesavanja!$AA$3:$AD$28, 4, 0), 0)), ".", ","))</f>
        <v>0</v>
      </c>
      <c r="E242" s="230">
        <f ca="1">IF( ISNA( VLOOKUP( APIF_Import!$O242 &amp; APIF_Import!$E$1,Podesavanja!$AA$3:$AD$28, 4, 0)), "", VLOOKUP( APIF_Import!$C242, INDIRECT( "Lookup_" &amp; APIF_Import!$O242), VLOOKUP( APIF_Import!$O242 &amp; APIF_Import!$E$1,Podesavanja!$AA$3:$AD$28, 4, 0), 0))</f>
        <v>0</v>
      </c>
      <c r="F242" s="230" t="str">
        <f ca="1">IF( ISNA( VLOOKUP( APIF_Import!$O242 &amp; APIF_Import!$F$1,Podesavanja!$AA$3:$AD$28, 4, 0)), "", VLOOKUP( APIF_Import!$C242, INDIRECT( "Lookup_" &amp; APIF_Import!$O242), VLOOKUP( APIF_Import!$O242 &amp; APIF_Import!$F$1,Podesavanja!$AA$3:$AD$28, 4, 0), 0))</f>
        <v/>
      </c>
      <c r="G242" s="230" t="str">
        <f ca="1">IF( ISNA( VLOOKUP( APIF_Import!$O242 &amp; APIF_Import!$G$1,Podesavanja!$AA$3:$AD$28, 4, 0)), "", VLOOKUP( APIF_Import!$C242, INDIRECT( "Lookup_" &amp; APIF_Import!$O242), VLOOKUP( APIF_Import!$O242 &amp; APIF_Import!$G$1,Podesavanja!$AA$3:$AD$28, 4, 0), 0))</f>
        <v/>
      </c>
      <c r="H242" s="230" t="str">
        <f ca="1">IF( ISNA( VLOOKUP( APIF_Import!$O242 &amp; APIF_Import!$H$1,Podesavanja!$AA$3:$AD$28, 4, 0)), "", VLOOKUP( APIF_Import!$C242, INDIRECT( "Lookup_" &amp; APIF_Import!$O242), VLOOKUP( APIF_Import!$O242 &amp; APIF_Import!$H$1,Podesavanja!$AA$3:$AD$28, 4, 0), 0))</f>
        <v/>
      </c>
      <c r="I242" s="230" t="str">
        <f ca="1">IF( ISNA( VLOOKUP( APIF_Import!$O242 &amp; APIF_Import!$I$1,Podesavanja!$AA$3:$AD$28, 4, 0)), "", VLOOKUP( APIF_Import!$C242, INDIRECT( "Lookup_" &amp; APIF_Import!$M242:$O242), VLOOKUP( APIF_Import!$O242 &amp; APIF_Import!$I$1,Podesavanja!$AA$3:$AD$28, 4, 0), 0))</f>
        <v/>
      </c>
      <c r="J242" s="230" t="str">
        <f ca="1">IF( ISNA( VLOOKUP( APIF_Import!$O242 &amp; APIF_Import!$J$1,Podesavanja!$AA$3:$AD$28, 4, 0)), "", VLOOKUP( APIF_Import!$C242, INDIRECT( "Lookup_" &amp; APIF_Import!$M242:$O242), VLOOKUP( APIF_Import!$O242 &amp; APIF_Import!$J$1,Podesavanja!$AA$3:$AD$28, 4, 0), 0))</f>
        <v/>
      </c>
      <c r="K242" s="230" t="str">
        <f ca="1">IF( ISNA( VLOOKUP( APIF_Import!$O242 &amp; APIF_Import!$K$1,Podesavanja!$AA$3:$AD$28, 4, 0)), "", VLOOKUP( APIF_Import!$C242, INDIRECT( "Lookup_" &amp; APIF_Import!$M242:$O242), VLOOKUP( APIF_Import!$O242 &amp; APIF_Import!$K$1,Podesavanja!$AA$3:$AD$28, 4, 0), 0))</f>
        <v/>
      </c>
      <c r="L242" s="230" t="str">
        <f ca="1">IF( ISNA( VLOOKUP( APIF_Import!$O242 &amp; APIF_Import!$L$1,Podesavanja!$AA$3:$AD$28, 4, 0)), "", VLOOKUP( APIF_Import!$C242, INDIRECT( "Lookup_" &amp; APIF_Import!$M242:$O242), VLOOKUP( APIF_Import!$O242 &amp; APIF_Import!$L$1,Podesavanja!$AA$3:$AD$28, 4, 0), 0))</f>
        <v/>
      </c>
      <c r="M242" s="230" t="str">
        <f ca="1">IF( ISNA( VLOOKUP( APIF_Import!$O242 &amp; APIF_Import!$M$1,Podesavanja!$AA$3:$AD$28, 4, 0)), "", VLOOKUP( APIF_Import!$C242, INDIRECT( "Lookup_" &amp; APIF_Import!$M242:$O242), VLOOKUP( APIF_Import!$O242 &amp; APIF_Import!$M$1,Podesavanja!$AA$3:$AD$28, 4, 0), 0))</f>
        <v/>
      </c>
      <c r="N242" s="8">
        <v>241</v>
      </c>
      <c r="O242" s="49" t="s">
        <v>2377</v>
      </c>
    </row>
    <row r="243" spans="2:15">
      <c r="B243" s="44">
        <f ca="1">VLOOKUP( APIF_Import!$O243, Podesavanja!$N$3:$Q$9, 4, 0)</f>
        <v>3</v>
      </c>
      <c r="C243" s="229">
        <f ca="1">VLOOKUP( APIF_Import!$N243, Aop!$A$2:$P$456, 4, 0)</f>
        <v>304</v>
      </c>
      <c r="D243" s="230" t="str">
        <f ca="1">IF( ISNA( VLOOKUP( APIF_Import!$O243 &amp; APIF_Import!$D$1,Podesavanja!$AA$3:$AD$28, 4, 0)), "", SUBSTITUTE( VALUE( VLOOKUP( APIF_Import!$C243, INDIRECT( "Lookup_" &amp; APIF_Import!$O243), VLOOKUP( APIF_Import!$O243 &amp; APIF_Import!$D$1,Podesavanja!$AA$3:$AD$28, 4, 0), 0)), ".", ","))</f>
        <v>0</v>
      </c>
      <c r="E243" s="230">
        <f ca="1">IF( ISNA( VLOOKUP( APIF_Import!$O243 &amp; APIF_Import!$E$1,Podesavanja!$AA$3:$AD$28, 4, 0)), "", VLOOKUP( APIF_Import!$C243, INDIRECT( "Lookup_" &amp; APIF_Import!$O243), VLOOKUP( APIF_Import!$O243 &amp; APIF_Import!$E$1,Podesavanja!$AA$3:$AD$28, 4, 0), 0))</f>
        <v>0</v>
      </c>
      <c r="F243" s="230" t="str">
        <f ca="1">IF( ISNA( VLOOKUP( APIF_Import!$O243 &amp; APIF_Import!$F$1,Podesavanja!$AA$3:$AD$28, 4, 0)), "", VLOOKUP( APIF_Import!$C243, INDIRECT( "Lookup_" &amp; APIF_Import!$O243), VLOOKUP( APIF_Import!$O243 &amp; APIF_Import!$F$1,Podesavanja!$AA$3:$AD$28, 4, 0), 0))</f>
        <v/>
      </c>
      <c r="G243" s="230" t="str">
        <f ca="1">IF( ISNA( VLOOKUP( APIF_Import!$O243 &amp; APIF_Import!$G$1,Podesavanja!$AA$3:$AD$28, 4, 0)), "", VLOOKUP( APIF_Import!$C243, INDIRECT( "Lookup_" &amp; APIF_Import!$O243), VLOOKUP( APIF_Import!$O243 &amp; APIF_Import!$G$1,Podesavanja!$AA$3:$AD$28, 4, 0), 0))</f>
        <v/>
      </c>
      <c r="H243" s="230" t="str">
        <f ca="1">IF( ISNA( VLOOKUP( APIF_Import!$O243 &amp; APIF_Import!$H$1,Podesavanja!$AA$3:$AD$28, 4, 0)), "", VLOOKUP( APIF_Import!$C243, INDIRECT( "Lookup_" &amp; APIF_Import!$O243), VLOOKUP( APIF_Import!$O243 &amp; APIF_Import!$H$1,Podesavanja!$AA$3:$AD$28, 4, 0), 0))</f>
        <v/>
      </c>
      <c r="I243" s="230" t="str">
        <f ca="1">IF( ISNA( VLOOKUP( APIF_Import!$O243 &amp; APIF_Import!$I$1,Podesavanja!$AA$3:$AD$28, 4, 0)), "", VLOOKUP( APIF_Import!$C243, INDIRECT( "Lookup_" &amp; APIF_Import!$M243:$O243), VLOOKUP( APIF_Import!$O243 &amp; APIF_Import!$I$1,Podesavanja!$AA$3:$AD$28, 4, 0), 0))</f>
        <v/>
      </c>
      <c r="J243" s="230" t="str">
        <f ca="1">IF( ISNA( VLOOKUP( APIF_Import!$O243 &amp; APIF_Import!$J$1,Podesavanja!$AA$3:$AD$28, 4, 0)), "", VLOOKUP( APIF_Import!$C243, INDIRECT( "Lookup_" &amp; APIF_Import!$M243:$O243), VLOOKUP( APIF_Import!$O243 &amp; APIF_Import!$J$1,Podesavanja!$AA$3:$AD$28, 4, 0), 0))</f>
        <v/>
      </c>
      <c r="K243" s="230" t="str">
        <f ca="1">IF( ISNA( VLOOKUP( APIF_Import!$O243 &amp; APIF_Import!$K$1,Podesavanja!$AA$3:$AD$28, 4, 0)), "", VLOOKUP( APIF_Import!$C243, INDIRECT( "Lookup_" &amp; APIF_Import!$M243:$O243), VLOOKUP( APIF_Import!$O243 &amp; APIF_Import!$K$1,Podesavanja!$AA$3:$AD$28, 4, 0), 0))</f>
        <v/>
      </c>
      <c r="L243" s="230" t="str">
        <f ca="1">IF( ISNA( VLOOKUP( APIF_Import!$O243 &amp; APIF_Import!$L$1,Podesavanja!$AA$3:$AD$28, 4, 0)), "", VLOOKUP( APIF_Import!$C243, INDIRECT( "Lookup_" &amp; APIF_Import!$M243:$O243), VLOOKUP( APIF_Import!$O243 &amp; APIF_Import!$L$1,Podesavanja!$AA$3:$AD$28, 4, 0), 0))</f>
        <v/>
      </c>
      <c r="M243" s="230" t="str">
        <f ca="1">IF( ISNA( VLOOKUP( APIF_Import!$O243 &amp; APIF_Import!$M$1,Podesavanja!$AA$3:$AD$28, 4, 0)), "", VLOOKUP( APIF_Import!$C243, INDIRECT( "Lookup_" &amp; APIF_Import!$M243:$O243), VLOOKUP( APIF_Import!$O243 &amp; APIF_Import!$M$1,Podesavanja!$AA$3:$AD$28, 4, 0), 0))</f>
        <v/>
      </c>
      <c r="N243" s="8">
        <v>242</v>
      </c>
      <c r="O243" s="49" t="s">
        <v>2377</v>
      </c>
    </row>
    <row r="244" spans="2:15">
      <c r="B244" s="44">
        <f ca="1">VLOOKUP( APIF_Import!$O244, Podesavanja!$N$3:$Q$9, 4, 0)</f>
        <v>3</v>
      </c>
      <c r="C244" s="229">
        <f ca="1">VLOOKUP( APIF_Import!$N244, Aop!$A$2:$P$456, 4, 0)</f>
        <v>305</v>
      </c>
      <c r="D244" s="230" t="str">
        <f ca="1">IF( ISNA( VLOOKUP( APIF_Import!$O244 &amp; APIF_Import!$D$1,Podesavanja!$AA$3:$AD$28, 4, 0)), "", SUBSTITUTE( VALUE( VLOOKUP( APIF_Import!$C244, INDIRECT( "Lookup_" &amp; APIF_Import!$O244), VLOOKUP( APIF_Import!$O244 &amp; APIF_Import!$D$1,Podesavanja!$AA$3:$AD$28, 4, 0), 0)), ".", ","))</f>
        <v>17980199</v>
      </c>
      <c r="E244" s="230">
        <f ca="1">IF( ISNA( VLOOKUP( APIF_Import!$O244 &amp; APIF_Import!$E$1,Podesavanja!$AA$3:$AD$28, 4, 0)), "", VLOOKUP( APIF_Import!$C244, INDIRECT( "Lookup_" &amp; APIF_Import!$O244), VLOOKUP( APIF_Import!$O244 &amp; APIF_Import!$E$1,Podesavanja!$AA$3:$AD$28, 4, 0), 0))</f>
        <v>1011834</v>
      </c>
      <c r="F244" s="230" t="str">
        <f ca="1">IF( ISNA( VLOOKUP( APIF_Import!$O244 &amp; APIF_Import!$F$1,Podesavanja!$AA$3:$AD$28, 4, 0)), "", VLOOKUP( APIF_Import!$C244, INDIRECT( "Lookup_" &amp; APIF_Import!$O244), VLOOKUP( APIF_Import!$O244 &amp; APIF_Import!$F$1,Podesavanja!$AA$3:$AD$28, 4, 0), 0))</f>
        <v/>
      </c>
      <c r="G244" s="230" t="str">
        <f ca="1">IF( ISNA( VLOOKUP( APIF_Import!$O244 &amp; APIF_Import!$G$1,Podesavanja!$AA$3:$AD$28, 4, 0)), "", VLOOKUP( APIF_Import!$C244, INDIRECT( "Lookup_" &amp; APIF_Import!$O244), VLOOKUP( APIF_Import!$O244 &amp; APIF_Import!$G$1,Podesavanja!$AA$3:$AD$28, 4, 0), 0))</f>
        <v/>
      </c>
      <c r="H244" s="230" t="str">
        <f ca="1">IF( ISNA( VLOOKUP( APIF_Import!$O244 &amp; APIF_Import!$H$1,Podesavanja!$AA$3:$AD$28, 4, 0)), "", VLOOKUP( APIF_Import!$C244, INDIRECT( "Lookup_" &amp; APIF_Import!$O244), VLOOKUP( APIF_Import!$O244 &amp; APIF_Import!$H$1,Podesavanja!$AA$3:$AD$28, 4, 0), 0))</f>
        <v/>
      </c>
      <c r="I244" s="230" t="str">
        <f ca="1">IF( ISNA( VLOOKUP( APIF_Import!$O244 &amp; APIF_Import!$I$1,Podesavanja!$AA$3:$AD$28, 4, 0)), "", VLOOKUP( APIF_Import!$C244, INDIRECT( "Lookup_" &amp; APIF_Import!$M244:$O244), VLOOKUP( APIF_Import!$O244 &amp; APIF_Import!$I$1,Podesavanja!$AA$3:$AD$28, 4, 0), 0))</f>
        <v/>
      </c>
      <c r="J244" s="230" t="str">
        <f ca="1">IF( ISNA( VLOOKUP( APIF_Import!$O244 &amp; APIF_Import!$J$1,Podesavanja!$AA$3:$AD$28, 4, 0)), "", VLOOKUP( APIF_Import!$C244, INDIRECT( "Lookup_" &amp; APIF_Import!$M244:$O244), VLOOKUP( APIF_Import!$O244 &amp; APIF_Import!$J$1,Podesavanja!$AA$3:$AD$28, 4, 0), 0))</f>
        <v/>
      </c>
      <c r="K244" s="230" t="str">
        <f ca="1">IF( ISNA( VLOOKUP( APIF_Import!$O244 &amp; APIF_Import!$K$1,Podesavanja!$AA$3:$AD$28, 4, 0)), "", VLOOKUP( APIF_Import!$C244, INDIRECT( "Lookup_" &amp; APIF_Import!$M244:$O244), VLOOKUP( APIF_Import!$O244 &amp; APIF_Import!$K$1,Podesavanja!$AA$3:$AD$28, 4, 0), 0))</f>
        <v/>
      </c>
      <c r="L244" s="230" t="str">
        <f ca="1">IF( ISNA( VLOOKUP( APIF_Import!$O244 &amp; APIF_Import!$L$1,Podesavanja!$AA$3:$AD$28, 4, 0)), "", VLOOKUP( APIF_Import!$C244, INDIRECT( "Lookup_" &amp; APIF_Import!$M244:$O244), VLOOKUP( APIF_Import!$O244 &amp; APIF_Import!$L$1,Podesavanja!$AA$3:$AD$28, 4, 0), 0))</f>
        <v/>
      </c>
      <c r="M244" s="230" t="str">
        <f ca="1">IF( ISNA( VLOOKUP( APIF_Import!$O244 &amp; APIF_Import!$M$1,Podesavanja!$AA$3:$AD$28, 4, 0)), "", VLOOKUP( APIF_Import!$C244, INDIRECT( "Lookup_" &amp; APIF_Import!$M244:$O244), VLOOKUP( APIF_Import!$O244 &amp; APIF_Import!$M$1,Podesavanja!$AA$3:$AD$28, 4, 0), 0))</f>
        <v/>
      </c>
      <c r="N244" s="8">
        <v>243</v>
      </c>
      <c r="O244" s="49" t="s">
        <v>2377</v>
      </c>
    </row>
    <row r="245" spans="2:15">
      <c r="B245" s="44">
        <f ca="1">VLOOKUP( APIF_Import!$O245, Podesavanja!$N$3:$Q$9, 4, 0)</f>
        <v>3</v>
      </c>
      <c r="C245" s="229">
        <f ca="1">VLOOKUP( APIF_Import!$N245, Aop!$A$2:$P$456, 4, 0)</f>
        <v>306</v>
      </c>
      <c r="D245" s="230" t="str">
        <f ca="1">IF( ISNA( VLOOKUP( APIF_Import!$O245 &amp; APIF_Import!$D$1,Podesavanja!$AA$3:$AD$28, 4, 0)), "", SUBSTITUTE( VALUE( VLOOKUP( APIF_Import!$C245, INDIRECT( "Lookup_" &amp; APIF_Import!$O245), VLOOKUP( APIF_Import!$O245 &amp; APIF_Import!$D$1,Podesavanja!$AA$3:$AD$28, 4, 0), 0)), ".", ","))</f>
        <v>1679285</v>
      </c>
      <c r="E245" s="230">
        <f ca="1">IF( ISNA( VLOOKUP( APIF_Import!$O245 &amp; APIF_Import!$E$1,Podesavanja!$AA$3:$AD$28, 4, 0)), "", VLOOKUP( APIF_Import!$C245, INDIRECT( "Lookup_" &amp; APIF_Import!$O245), VLOOKUP( APIF_Import!$O245 &amp; APIF_Import!$E$1,Podesavanja!$AA$3:$AD$28, 4, 0), 0))</f>
        <v>978131</v>
      </c>
      <c r="F245" s="230" t="str">
        <f ca="1">IF( ISNA( VLOOKUP( APIF_Import!$O245 &amp; APIF_Import!$F$1,Podesavanja!$AA$3:$AD$28, 4, 0)), "", VLOOKUP( APIF_Import!$C245, INDIRECT( "Lookup_" &amp; APIF_Import!$O245), VLOOKUP( APIF_Import!$O245 &amp; APIF_Import!$F$1,Podesavanja!$AA$3:$AD$28, 4, 0), 0))</f>
        <v/>
      </c>
      <c r="G245" s="230" t="str">
        <f ca="1">IF( ISNA( VLOOKUP( APIF_Import!$O245 &amp; APIF_Import!$G$1,Podesavanja!$AA$3:$AD$28, 4, 0)), "", VLOOKUP( APIF_Import!$C245, INDIRECT( "Lookup_" &amp; APIF_Import!$O245), VLOOKUP( APIF_Import!$O245 &amp; APIF_Import!$G$1,Podesavanja!$AA$3:$AD$28, 4, 0), 0))</f>
        <v/>
      </c>
      <c r="H245" s="230" t="str">
        <f ca="1">IF( ISNA( VLOOKUP( APIF_Import!$O245 &amp; APIF_Import!$H$1,Podesavanja!$AA$3:$AD$28, 4, 0)), "", VLOOKUP( APIF_Import!$C245, INDIRECT( "Lookup_" &amp; APIF_Import!$O245), VLOOKUP( APIF_Import!$O245 &amp; APIF_Import!$H$1,Podesavanja!$AA$3:$AD$28, 4, 0), 0))</f>
        <v/>
      </c>
      <c r="I245" s="230" t="str">
        <f ca="1">IF( ISNA( VLOOKUP( APIF_Import!$O245 &amp; APIF_Import!$I$1,Podesavanja!$AA$3:$AD$28, 4, 0)), "", VLOOKUP( APIF_Import!$C245, INDIRECT( "Lookup_" &amp; APIF_Import!$M245:$O245), VLOOKUP( APIF_Import!$O245 &amp; APIF_Import!$I$1,Podesavanja!$AA$3:$AD$28, 4, 0), 0))</f>
        <v/>
      </c>
      <c r="J245" s="230" t="str">
        <f ca="1">IF( ISNA( VLOOKUP( APIF_Import!$O245 &amp; APIF_Import!$J$1,Podesavanja!$AA$3:$AD$28, 4, 0)), "", VLOOKUP( APIF_Import!$C245, INDIRECT( "Lookup_" &amp; APIF_Import!$M245:$O245), VLOOKUP( APIF_Import!$O245 &amp; APIF_Import!$J$1,Podesavanja!$AA$3:$AD$28, 4, 0), 0))</f>
        <v/>
      </c>
      <c r="K245" s="230" t="str">
        <f ca="1">IF( ISNA( VLOOKUP( APIF_Import!$O245 &amp; APIF_Import!$K$1,Podesavanja!$AA$3:$AD$28, 4, 0)), "", VLOOKUP( APIF_Import!$C245, INDIRECT( "Lookup_" &amp; APIF_Import!$M245:$O245), VLOOKUP( APIF_Import!$O245 &amp; APIF_Import!$K$1,Podesavanja!$AA$3:$AD$28, 4, 0), 0))</f>
        <v/>
      </c>
      <c r="L245" s="230" t="str">
        <f ca="1">IF( ISNA( VLOOKUP( APIF_Import!$O245 &amp; APIF_Import!$L$1,Podesavanja!$AA$3:$AD$28, 4, 0)), "", VLOOKUP( APIF_Import!$C245, INDIRECT( "Lookup_" &amp; APIF_Import!$M245:$O245), VLOOKUP( APIF_Import!$O245 &amp; APIF_Import!$L$1,Podesavanja!$AA$3:$AD$28, 4, 0), 0))</f>
        <v/>
      </c>
      <c r="M245" s="230" t="str">
        <f ca="1">IF( ISNA( VLOOKUP( APIF_Import!$O245 &amp; APIF_Import!$M$1,Podesavanja!$AA$3:$AD$28, 4, 0)), "", VLOOKUP( APIF_Import!$C245, INDIRECT( "Lookup_" &amp; APIF_Import!$M245:$O245), VLOOKUP( APIF_Import!$O245 &amp; APIF_Import!$M$1,Podesavanja!$AA$3:$AD$28, 4, 0), 0))</f>
        <v/>
      </c>
      <c r="N245" s="8">
        <v>244</v>
      </c>
      <c r="O245" s="49" t="s">
        <v>2377</v>
      </c>
    </row>
    <row r="246" spans="2:15">
      <c r="B246" s="44">
        <f ca="1">VLOOKUP( APIF_Import!$O246, Podesavanja!$N$3:$Q$9, 4, 0)</f>
        <v>3</v>
      </c>
      <c r="C246" s="229">
        <f ca="1">VLOOKUP( APIF_Import!$N246, Aop!$A$2:$P$456, 4, 0)</f>
        <v>307</v>
      </c>
      <c r="D246" s="230" t="str">
        <f ca="1">IF( ISNA( VLOOKUP( APIF_Import!$O246 &amp; APIF_Import!$D$1,Podesavanja!$AA$3:$AD$28, 4, 0)), "", SUBSTITUTE( VALUE( VLOOKUP( APIF_Import!$C246, INDIRECT( "Lookup_" &amp; APIF_Import!$O246), VLOOKUP( APIF_Import!$O246 &amp; APIF_Import!$D$1,Podesavanja!$AA$3:$AD$28, 4, 0), 0)), ".", ","))</f>
        <v>16300914</v>
      </c>
      <c r="E246" s="230">
        <f ca="1">IF( ISNA( VLOOKUP( APIF_Import!$O246 &amp; APIF_Import!$E$1,Podesavanja!$AA$3:$AD$28, 4, 0)), "", VLOOKUP( APIF_Import!$C246, INDIRECT( "Lookup_" &amp; APIF_Import!$O246), VLOOKUP( APIF_Import!$O246 &amp; APIF_Import!$E$1,Podesavanja!$AA$3:$AD$28, 4, 0), 0))</f>
        <v>33703</v>
      </c>
      <c r="F246" s="230" t="str">
        <f ca="1">IF( ISNA( VLOOKUP( APIF_Import!$O246 &amp; APIF_Import!$F$1,Podesavanja!$AA$3:$AD$28, 4, 0)), "", VLOOKUP( APIF_Import!$C246, INDIRECT( "Lookup_" &amp; APIF_Import!$O246), VLOOKUP( APIF_Import!$O246 &amp; APIF_Import!$F$1,Podesavanja!$AA$3:$AD$28, 4, 0), 0))</f>
        <v/>
      </c>
      <c r="G246" s="230" t="str">
        <f ca="1">IF( ISNA( VLOOKUP( APIF_Import!$O246 &amp; APIF_Import!$G$1,Podesavanja!$AA$3:$AD$28, 4, 0)), "", VLOOKUP( APIF_Import!$C246, INDIRECT( "Lookup_" &amp; APIF_Import!$O246), VLOOKUP( APIF_Import!$O246 &amp; APIF_Import!$G$1,Podesavanja!$AA$3:$AD$28, 4, 0), 0))</f>
        <v/>
      </c>
      <c r="H246" s="230" t="str">
        <f ca="1">IF( ISNA( VLOOKUP( APIF_Import!$O246 &amp; APIF_Import!$H$1,Podesavanja!$AA$3:$AD$28, 4, 0)), "", VLOOKUP( APIF_Import!$C246, INDIRECT( "Lookup_" &amp; APIF_Import!$O246), VLOOKUP( APIF_Import!$O246 &amp; APIF_Import!$H$1,Podesavanja!$AA$3:$AD$28, 4, 0), 0))</f>
        <v/>
      </c>
      <c r="I246" s="230" t="str">
        <f ca="1">IF( ISNA( VLOOKUP( APIF_Import!$O246 &amp; APIF_Import!$I$1,Podesavanja!$AA$3:$AD$28, 4, 0)), "", VLOOKUP( APIF_Import!$C246, INDIRECT( "Lookup_" &amp; APIF_Import!$M246:$O246), VLOOKUP( APIF_Import!$O246 &amp; APIF_Import!$I$1,Podesavanja!$AA$3:$AD$28, 4, 0), 0))</f>
        <v/>
      </c>
      <c r="J246" s="230" t="str">
        <f ca="1">IF( ISNA( VLOOKUP( APIF_Import!$O246 &amp; APIF_Import!$J$1,Podesavanja!$AA$3:$AD$28, 4, 0)), "", VLOOKUP( APIF_Import!$C246, INDIRECT( "Lookup_" &amp; APIF_Import!$M246:$O246), VLOOKUP( APIF_Import!$O246 &amp; APIF_Import!$J$1,Podesavanja!$AA$3:$AD$28, 4, 0), 0))</f>
        <v/>
      </c>
      <c r="K246" s="230" t="str">
        <f ca="1">IF( ISNA( VLOOKUP( APIF_Import!$O246 &amp; APIF_Import!$K$1,Podesavanja!$AA$3:$AD$28, 4, 0)), "", VLOOKUP( APIF_Import!$C246, INDIRECT( "Lookup_" &amp; APIF_Import!$M246:$O246), VLOOKUP( APIF_Import!$O246 &amp; APIF_Import!$K$1,Podesavanja!$AA$3:$AD$28, 4, 0), 0))</f>
        <v/>
      </c>
      <c r="L246" s="230" t="str">
        <f ca="1">IF( ISNA( VLOOKUP( APIF_Import!$O246 &amp; APIF_Import!$L$1,Podesavanja!$AA$3:$AD$28, 4, 0)), "", VLOOKUP( APIF_Import!$C246, INDIRECT( "Lookup_" &amp; APIF_Import!$M246:$O246), VLOOKUP( APIF_Import!$O246 &amp; APIF_Import!$L$1,Podesavanja!$AA$3:$AD$28, 4, 0), 0))</f>
        <v/>
      </c>
      <c r="M246" s="230" t="str">
        <f ca="1">IF( ISNA( VLOOKUP( APIF_Import!$O246 &amp; APIF_Import!$M$1,Podesavanja!$AA$3:$AD$28, 4, 0)), "", VLOOKUP( APIF_Import!$C246, INDIRECT( "Lookup_" &amp; APIF_Import!$M246:$O246), VLOOKUP( APIF_Import!$O246 &amp; APIF_Import!$M$1,Podesavanja!$AA$3:$AD$28, 4, 0), 0))</f>
        <v/>
      </c>
      <c r="N246" s="8">
        <v>245</v>
      </c>
      <c r="O246" s="49" t="s">
        <v>2377</v>
      </c>
    </row>
    <row r="247" spans="2:15">
      <c r="B247" s="44">
        <f ca="1">VLOOKUP( APIF_Import!$O247, Podesavanja!$N$3:$Q$9, 4, 0)</f>
        <v>3</v>
      </c>
      <c r="C247" s="229">
        <f ca="1">VLOOKUP( APIF_Import!$N247, Aop!$A$2:$P$456, 4, 0)</f>
        <v>308</v>
      </c>
      <c r="D247" s="230" t="str">
        <f ca="1">IF( ISNA( VLOOKUP( APIF_Import!$O247 &amp; APIF_Import!$D$1,Podesavanja!$AA$3:$AD$28, 4, 0)), "", SUBSTITUTE( VALUE( VLOOKUP( APIF_Import!$C247, INDIRECT( "Lookup_" &amp; APIF_Import!$O247), VLOOKUP( APIF_Import!$O247 &amp; APIF_Import!$D$1,Podesavanja!$AA$3:$AD$28, 4, 0), 0)), ".", ","))</f>
        <v>0</v>
      </c>
      <c r="E247" s="230">
        <f ca="1">IF( ISNA( VLOOKUP( APIF_Import!$O247 &amp; APIF_Import!$E$1,Podesavanja!$AA$3:$AD$28, 4, 0)), "", VLOOKUP( APIF_Import!$C247, INDIRECT( "Lookup_" &amp; APIF_Import!$O247), VLOOKUP( APIF_Import!$O247 &amp; APIF_Import!$E$1,Podesavanja!$AA$3:$AD$28, 4, 0), 0))</f>
        <v>0</v>
      </c>
      <c r="F247" s="230" t="str">
        <f ca="1">IF( ISNA( VLOOKUP( APIF_Import!$O247 &amp; APIF_Import!$F$1,Podesavanja!$AA$3:$AD$28, 4, 0)), "", VLOOKUP( APIF_Import!$C247, INDIRECT( "Lookup_" &amp; APIF_Import!$O247), VLOOKUP( APIF_Import!$O247 &amp; APIF_Import!$F$1,Podesavanja!$AA$3:$AD$28, 4, 0), 0))</f>
        <v/>
      </c>
      <c r="G247" s="230" t="str">
        <f ca="1">IF( ISNA( VLOOKUP( APIF_Import!$O247 &amp; APIF_Import!$G$1,Podesavanja!$AA$3:$AD$28, 4, 0)), "", VLOOKUP( APIF_Import!$C247, INDIRECT( "Lookup_" &amp; APIF_Import!$O247), VLOOKUP( APIF_Import!$O247 &amp; APIF_Import!$G$1,Podesavanja!$AA$3:$AD$28, 4, 0), 0))</f>
        <v/>
      </c>
      <c r="H247" s="230" t="str">
        <f ca="1">IF( ISNA( VLOOKUP( APIF_Import!$O247 &amp; APIF_Import!$H$1,Podesavanja!$AA$3:$AD$28, 4, 0)), "", VLOOKUP( APIF_Import!$C247, INDIRECT( "Lookup_" &amp; APIF_Import!$O247), VLOOKUP( APIF_Import!$O247 &amp; APIF_Import!$H$1,Podesavanja!$AA$3:$AD$28, 4, 0), 0))</f>
        <v/>
      </c>
      <c r="I247" s="230" t="str">
        <f ca="1">IF( ISNA( VLOOKUP( APIF_Import!$O247 &amp; APIF_Import!$I$1,Podesavanja!$AA$3:$AD$28, 4, 0)), "", VLOOKUP( APIF_Import!$C247, INDIRECT( "Lookup_" &amp; APIF_Import!$M247:$O247), VLOOKUP( APIF_Import!$O247 &amp; APIF_Import!$I$1,Podesavanja!$AA$3:$AD$28, 4, 0), 0))</f>
        <v/>
      </c>
      <c r="J247" s="230" t="str">
        <f ca="1">IF( ISNA( VLOOKUP( APIF_Import!$O247 &amp; APIF_Import!$J$1,Podesavanja!$AA$3:$AD$28, 4, 0)), "", VLOOKUP( APIF_Import!$C247, INDIRECT( "Lookup_" &amp; APIF_Import!$M247:$O247), VLOOKUP( APIF_Import!$O247 &amp; APIF_Import!$J$1,Podesavanja!$AA$3:$AD$28, 4, 0), 0))</f>
        <v/>
      </c>
      <c r="K247" s="230" t="str">
        <f ca="1">IF( ISNA( VLOOKUP( APIF_Import!$O247 &amp; APIF_Import!$K$1,Podesavanja!$AA$3:$AD$28, 4, 0)), "", VLOOKUP( APIF_Import!$C247, INDIRECT( "Lookup_" &amp; APIF_Import!$M247:$O247), VLOOKUP( APIF_Import!$O247 &amp; APIF_Import!$K$1,Podesavanja!$AA$3:$AD$28, 4, 0), 0))</f>
        <v/>
      </c>
      <c r="L247" s="230" t="str">
        <f ca="1">IF( ISNA( VLOOKUP( APIF_Import!$O247 &amp; APIF_Import!$L$1,Podesavanja!$AA$3:$AD$28, 4, 0)), "", VLOOKUP( APIF_Import!$C247, INDIRECT( "Lookup_" &amp; APIF_Import!$M247:$O247), VLOOKUP( APIF_Import!$O247 &amp; APIF_Import!$L$1,Podesavanja!$AA$3:$AD$28, 4, 0), 0))</f>
        <v/>
      </c>
      <c r="M247" s="230" t="str">
        <f ca="1">IF( ISNA( VLOOKUP( APIF_Import!$O247 &amp; APIF_Import!$M$1,Podesavanja!$AA$3:$AD$28, 4, 0)), "", VLOOKUP( APIF_Import!$C247, INDIRECT( "Lookup_" &amp; APIF_Import!$M247:$O247), VLOOKUP( APIF_Import!$O247 &amp; APIF_Import!$M$1,Podesavanja!$AA$3:$AD$28, 4, 0), 0))</f>
        <v/>
      </c>
      <c r="N247" s="8">
        <v>246</v>
      </c>
      <c r="O247" s="49" t="s">
        <v>2377</v>
      </c>
    </row>
    <row r="248" spans="2:15">
      <c r="B248" s="44">
        <f ca="1">VLOOKUP( APIF_Import!$O248, Podesavanja!$N$3:$Q$9, 4, 0)</f>
        <v>3</v>
      </c>
      <c r="C248" s="229">
        <f ca="1">VLOOKUP( APIF_Import!$N248, Aop!$A$2:$P$456, 4, 0)</f>
        <v>309</v>
      </c>
      <c r="D248" s="230" t="str">
        <f ca="1">IF( ISNA( VLOOKUP( APIF_Import!$O248 &amp; APIF_Import!$D$1,Podesavanja!$AA$3:$AD$28, 4, 0)), "", SUBSTITUTE( VALUE( VLOOKUP( APIF_Import!$C248, INDIRECT( "Lookup_" &amp; APIF_Import!$O248), VLOOKUP( APIF_Import!$O248 &amp; APIF_Import!$D$1,Podesavanja!$AA$3:$AD$28, 4, 0), 0)), ".", ","))</f>
        <v>0</v>
      </c>
      <c r="E248" s="230">
        <f ca="1">IF( ISNA( VLOOKUP( APIF_Import!$O248 &amp; APIF_Import!$E$1,Podesavanja!$AA$3:$AD$28, 4, 0)), "", VLOOKUP( APIF_Import!$C248, INDIRECT( "Lookup_" &amp; APIF_Import!$O248), VLOOKUP( APIF_Import!$O248 &amp; APIF_Import!$E$1,Podesavanja!$AA$3:$AD$28, 4, 0), 0))</f>
        <v>0</v>
      </c>
      <c r="F248" s="230" t="str">
        <f ca="1">IF( ISNA( VLOOKUP( APIF_Import!$O248 &amp; APIF_Import!$F$1,Podesavanja!$AA$3:$AD$28, 4, 0)), "", VLOOKUP( APIF_Import!$C248, INDIRECT( "Lookup_" &amp; APIF_Import!$O248), VLOOKUP( APIF_Import!$O248 &amp; APIF_Import!$F$1,Podesavanja!$AA$3:$AD$28, 4, 0), 0))</f>
        <v/>
      </c>
      <c r="G248" s="230" t="str">
        <f ca="1">IF( ISNA( VLOOKUP( APIF_Import!$O248 &amp; APIF_Import!$G$1,Podesavanja!$AA$3:$AD$28, 4, 0)), "", VLOOKUP( APIF_Import!$C248, INDIRECT( "Lookup_" &amp; APIF_Import!$O248), VLOOKUP( APIF_Import!$O248 &amp; APIF_Import!$G$1,Podesavanja!$AA$3:$AD$28, 4, 0), 0))</f>
        <v/>
      </c>
      <c r="H248" s="230" t="str">
        <f ca="1">IF( ISNA( VLOOKUP( APIF_Import!$O248 &amp; APIF_Import!$H$1,Podesavanja!$AA$3:$AD$28, 4, 0)), "", VLOOKUP( APIF_Import!$C248, INDIRECT( "Lookup_" &amp; APIF_Import!$O248), VLOOKUP( APIF_Import!$O248 &amp; APIF_Import!$H$1,Podesavanja!$AA$3:$AD$28, 4, 0), 0))</f>
        <v/>
      </c>
      <c r="I248" s="230" t="str">
        <f ca="1">IF( ISNA( VLOOKUP( APIF_Import!$O248 &amp; APIF_Import!$I$1,Podesavanja!$AA$3:$AD$28, 4, 0)), "", VLOOKUP( APIF_Import!$C248, INDIRECT( "Lookup_" &amp; APIF_Import!$M248:$O248), VLOOKUP( APIF_Import!$O248 &amp; APIF_Import!$I$1,Podesavanja!$AA$3:$AD$28, 4, 0), 0))</f>
        <v/>
      </c>
      <c r="J248" s="230" t="str">
        <f ca="1">IF( ISNA( VLOOKUP( APIF_Import!$O248 &amp; APIF_Import!$J$1,Podesavanja!$AA$3:$AD$28, 4, 0)), "", VLOOKUP( APIF_Import!$C248, INDIRECT( "Lookup_" &amp; APIF_Import!$M248:$O248), VLOOKUP( APIF_Import!$O248 &amp; APIF_Import!$J$1,Podesavanja!$AA$3:$AD$28, 4, 0), 0))</f>
        <v/>
      </c>
      <c r="K248" s="230" t="str">
        <f ca="1">IF( ISNA( VLOOKUP( APIF_Import!$O248 &amp; APIF_Import!$K$1,Podesavanja!$AA$3:$AD$28, 4, 0)), "", VLOOKUP( APIF_Import!$C248, INDIRECT( "Lookup_" &amp; APIF_Import!$M248:$O248), VLOOKUP( APIF_Import!$O248 &amp; APIF_Import!$K$1,Podesavanja!$AA$3:$AD$28, 4, 0), 0))</f>
        <v/>
      </c>
      <c r="L248" s="230" t="str">
        <f ca="1">IF( ISNA( VLOOKUP( APIF_Import!$O248 &amp; APIF_Import!$L$1,Podesavanja!$AA$3:$AD$28, 4, 0)), "", VLOOKUP( APIF_Import!$C248, INDIRECT( "Lookup_" &amp; APIF_Import!$M248:$O248), VLOOKUP( APIF_Import!$O248 &amp; APIF_Import!$L$1,Podesavanja!$AA$3:$AD$28, 4, 0), 0))</f>
        <v/>
      </c>
      <c r="M248" s="230" t="str">
        <f ca="1">IF( ISNA( VLOOKUP( APIF_Import!$O248 &amp; APIF_Import!$M$1,Podesavanja!$AA$3:$AD$28, 4, 0)), "", VLOOKUP( APIF_Import!$C248, INDIRECT( "Lookup_" &amp; APIF_Import!$M248:$O248), VLOOKUP( APIF_Import!$O248 &amp; APIF_Import!$M$1,Podesavanja!$AA$3:$AD$28, 4, 0), 0))</f>
        <v/>
      </c>
      <c r="N248" s="8">
        <v>247</v>
      </c>
      <c r="O248" s="49" t="s">
        <v>2377</v>
      </c>
    </row>
    <row r="249" spans="2:15">
      <c r="B249" s="44">
        <f ca="1">VLOOKUP( APIF_Import!$O249, Podesavanja!$N$3:$Q$9, 4, 0)</f>
        <v>3</v>
      </c>
      <c r="C249" s="229">
        <f ca="1">VLOOKUP( APIF_Import!$N249, Aop!$A$2:$P$456, 4, 0)</f>
        <v>310</v>
      </c>
      <c r="D249" s="230" t="str">
        <f ca="1">IF( ISNA( VLOOKUP( APIF_Import!$O249 &amp; APIF_Import!$D$1,Podesavanja!$AA$3:$AD$28, 4, 0)), "", SUBSTITUTE( VALUE( VLOOKUP( APIF_Import!$C249, INDIRECT( "Lookup_" &amp; APIF_Import!$O249), VLOOKUP( APIF_Import!$O249 &amp; APIF_Import!$D$1,Podesavanja!$AA$3:$AD$28, 4, 0), 0)), ".", ","))</f>
        <v>0</v>
      </c>
      <c r="E249" s="230">
        <f ca="1">IF( ISNA( VLOOKUP( APIF_Import!$O249 &amp; APIF_Import!$E$1,Podesavanja!$AA$3:$AD$28, 4, 0)), "", VLOOKUP( APIF_Import!$C249, INDIRECT( "Lookup_" &amp; APIF_Import!$O249), VLOOKUP( APIF_Import!$O249 &amp; APIF_Import!$E$1,Podesavanja!$AA$3:$AD$28, 4, 0), 0))</f>
        <v>0</v>
      </c>
      <c r="F249" s="230" t="str">
        <f ca="1">IF( ISNA( VLOOKUP( APIF_Import!$O249 &amp; APIF_Import!$F$1,Podesavanja!$AA$3:$AD$28, 4, 0)), "", VLOOKUP( APIF_Import!$C249, INDIRECT( "Lookup_" &amp; APIF_Import!$O249), VLOOKUP( APIF_Import!$O249 &amp; APIF_Import!$F$1,Podesavanja!$AA$3:$AD$28, 4, 0), 0))</f>
        <v/>
      </c>
      <c r="G249" s="230" t="str">
        <f ca="1">IF( ISNA( VLOOKUP( APIF_Import!$O249 &amp; APIF_Import!$G$1,Podesavanja!$AA$3:$AD$28, 4, 0)), "", VLOOKUP( APIF_Import!$C249, INDIRECT( "Lookup_" &amp; APIF_Import!$O249), VLOOKUP( APIF_Import!$O249 &amp; APIF_Import!$G$1,Podesavanja!$AA$3:$AD$28, 4, 0), 0))</f>
        <v/>
      </c>
      <c r="H249" s="230" t="str">
        <f ca="1">IF( ISNA( VLOOKUP( APIF_Import!$O249 &amp; APIF_Import!$H$1,Podesavanja!$AA$3:$AD$28, 4, 0)), "", VLOOKUP( APIF_Import!$C249, INDIRECT( "Lookup_" &amp; APIF_Import!$O249), VLOOKUP( APIF_Import!$O249 &amp; APIF_Import!$H$1,Podesavanja!$AA$3:$AD$28, 4, 0), 0))</f>
        <v/>
      </c>
      <c r="I249" s="230" t="str">
        <f ca="1">IF( ISNA( VLOOKUP( APIF_Import!$O249 &amp; APIF_Import!$I$1,Podesavanja!$AA$3:$AD$28, 4, 0)), "", VLOOKUP( APIF_Import!$C249, INDIRECT( "Lookup_" &amp; APIF_Import!$M249:$O249), VLOOKUP( APIF_Import!$O249 &amp; APIF_Import!$I$1,Podesavanja!$AA$3:$AD$28, 4, 0), 0))</f>
        <v/>
      </c>
      <c r="J249" s="230" t="str">
        <f ca="1">IF( ISNA( VLOOKUP( APIF_Import!$O249 &amp; APIF_Import!$J$1,Podesavanja!$AA$3:$AD$28, 4, 0)), "", VLOOKUP( APIF_Import!$C249, INDIRECT( "Lookup_" &amp; APIF_Import!$M249:$O249), VLOOKUP( APIF_Import!$O249 &amp; APIF_Import!$J$1,Podesavanja!$AA$3:$AD$28, 4, 0), 0))</f>
        <v/>
      </c>
      <c r="K249" s="230" t="str">
        <f ca="1">IF( ISNA( VLOOKUP( APIF_Import!$O249 &amp; APIF_Import!$K$1,Podesavanja!$AA$3:$AD$28, 4, 0)), "", VLOOKUP( APIF_Import!$C249, INDIRECT( "Lookup_" &amp; APIF_Import!$M249:$O249), VLOOKUP( APIF_Import!$O249 &amp; APIF_Import!$K$1,Podesavanja!$AA$3:$AD$28, 4, 0), 0))</f>
        <v/>
      </c>
      <c r="L249" s="230" t="str">
        <f ca="1">IF( ISNA( VLOOKUP( APIF_Import!$O249 &amp; APIF_Import!$L$1,Podesavanja!$AA$3:$AD$28, 4, 0)), "", VLOOKUP( APIF_Import!$C249, INDIRECT( "Lookup_" &amp; APIF_Import!$M249:$O249), VLOOKUP( APIF_Import!$O249 &amp; APIF_Import!$L$1,Podesavanja!$AA$3:$AD$28, 4, 0), 0))</f>
        <v/>
      </c>
      <c r="M249" s="230" t="str">
        <f ca="1">IF( ISNA( VLOOKUP( APIF_Import!$O249 &amp; APIF_Import!$M$1,Podesavanja!$AA$3:$AD$28, 4, 0)), "", VLOOKUP( APIF_Import!$C249, INDIRECT( "Lookup_" &amp; APIF_Import!$M249:$O249), VLOOKUP( APIF_Import!$O249 &amp; APIF_Import!$M$1,Podesavanja!$AA$3:$AD$28, 4, 0), 0))</f>
        <v/>
      </c>
      <c r="N249" s="8">
        <v>248</v>
      </c>
      <c r="O249" s="49" t="s">
        <v>2377</v>
      </c>
    </row>
    <row r="250" spans="2:15">
      <c r="B250" s="44">
        <f ca="1">VLOOKUP( APIF_Import!$O250, Podesavanja!$N$3:$Q$9, 4, 0)</f>
        <v>3</v>
      </c>
      <c r="C250" s="229">
        <f ca="1">VLOOKUP( APIF_Import!$N250, Aop!$A$2:$P$456, 4, 0)</f>
        <v>311</v>
      </c>
      <c r="D250" s="230" t="str">
        <f ca="1">IF( ISNA( VLOOKUP( APIF_Import!$O250 &amp; APIF_Import!$D$1,Podesavanja!$AA$3:$AD$28, 4, 0)), "", SUBSTITUTE( VALUE( VLOOKUP( APIF_Import!$C250, INDIRECT( "Lookup_" &amp; APIF_Import!$O250), VLOOKUP( APIF_Import!$O250 &amp; APIF_Import!$D$1,Podesavanja!$AA$3:$AD$28, 4, 0), 0)), ".", ","))</f>
        <v>0</v>
      </c>
      <c r="E250" s="230">
        <f ca="1">IF( ISNA( VLOOKUP( APIF_Import!$O250 &amp; APIF_Import!$E$1,Podesavanja!$AA$3:$AD$28, 4, 0)), "", VLOOKUP( APIF_Import!$C250, INDIRECT( "Lookup_" &amp; APIF_Import!$O250), VLOOKUP( APIF_Import!$O250 &amp; APIF_Import!$E$1,Podesavanja!$AA$3:$AD$28, 4, 0), 0))</f>
        <v>0</v>
      </c>
      <c r="F250" s="230" t="str">
        <f ca="1">IF( ISNA( VLOOKUP( APIF_Import!$O250 &amp; APIF_Import!$F$1,Podesavanja!$AA$3:$AD$28, 4, 0)), "", VLOOKUP( APIF_Import!$C250, INDIRECT( "Lookup_" &amp; APIF_Import!$O250), VLOOKUP( APIF_Import!$O250 &amp; APIF_Import!$F$1,Podesavanja!$AA$3:$AD$28, 4, 0), 0))</f>
        <v/>
      </c>
      <c r="G250" s="230" t="str">
        <f ca="1">IF( ISNA( VLOOKUP( APIF_Import!$O250 &amp; APIF_Import!$G$1,Podesavanja!$AA$3:$AD$28, 4, 0)), "", VLOOKUP( APIF_Import!$C250, INDIRECT( "Lookup_" &amp; APIF_Import!$O250), VLOOKUP( APIF_Import!$O250 &amp; APIF_Import!$G$1,Podesavanja!$AA$3:$AD$28, 4, 0), 0))</f>
        <v/>
      </c>
      <c r="H250" s="230" t="str">
        <f ca="1">IF( ISNA( VLOOKUP( APIF_Import!$O250 &amp; APIF_Import!$H$1,Podesavanja!$AA$3:$AD$28, 4, 0)), "", VLOOKUP( APIF_Import!$C250, INDIRECT( "Lookup_" &amp; APIF_Import!$O250), VLOOKUP( APIF_Import!$O250 &amp; APIF_Import!$H$1,Podesavanja!$AA$3:$AD$28, 4, 0), 0))</f>
        <v/>
      </c>
      <c r="I250" s="230" t="str">
        <f ca="1">IF( ISNA( VLOOKUP( APIF_Import!$O250 &amp; APIF_Import!$I$1,Podesavanja!$AA$3:$AD$28, 4, 0)), "", VLOOKUP( APIF_Import!$C250, INDIRECT( "Lookup_" &amp; APIF_Import!$M250:$O250), VLOOKUP( APIF_Import!$O250 &amp; APIF_Import!$I$1,Podesavanja!$AA$3:$AD$28, 4, 0), 0))</f>
        <v/>
      </c>
      <c r="J250" s="230" t="str">
        <f ca="1">IF( ISNA( VLOOKUP( APIF_Import!$O250 &amp; APIF_Import!$J$1,Podesavanja!$AA$3:$AD$28, 4, 0)), "", VLOOKUP( APIF_Import!$C250, INDIRECT( "Lookup_" &amp; APIF_Import!$M250:$O250), VLOOKUP( APIF_Import!$O250 &amp; APIF_Import!$J$1,Podesavanja!$AA$3:$AD$28, 4, 0), 0))</f>
        <v/>
      </c>
      <c r="K250" s="230" t="str">
        <f ca="1">IF( ISNA( VLOOKUP( APIF_Import!$O250 &amp; APIF_Import!$K$1,Podesavanja!$AA$3:$AD$28, 4, 0)), "", VLOOKUP( APIF_Import!$C250, INDIRECT( "Lookup_" &amp; APIF_Import!$M250:$O250), VLOOKUP( APIF_Import!$O250 &amp; APIF_Import!$K$1,Podesavanja!$AA$3:$AD$28, 4, 0), 0))</f>
        <v/>
      </c>
      <c r="L250" s="230" t="str">
        <f ca="1">IF( ISNA( VLOOKUP( APIF_Import!$O250 &amp; APIF_Import!$L$1,Podesavanja!$AA$3:$AD$28, 4, 0)), "", VLOOKUP( APIF_Import!$C250, INDIRECT( "Lookup_" &amp; APIF_Import!$M250:$O250), VLOOKUP( APIF_Import!$O250 &amp; APIF_Import!$L$1,Podesavanja!$AA$3:$AD$28, 4, 0), 0))</f>
        <v/>
      </c>
      <c r="M250" s="230" t="str">
        <f ca="1">IF( ISNA( VLOOKUP( APIF_Import!$O250 &amp; APIF_Import!$M$1,Podesavanja!$AA$3:$AD$28, 4, 0)), "", VLOOKUP( APIF_Import!$C250, INDIRECT( "Lookup_" &amp; APIF_Import!$M250:$O250), VLOOKUP( APIF_Import!$O250 &amp; APIF_Import!$M$1,Podesavanja!$AA$3:$AD$28, 4, 0), 0))</f>
        <v/>
      </c>
      <c r="N250" s="8">
        <v>249</v>
      </c>
      <c r="O250" s="49" t="s">
        <v>2377</v>
      </c>
    </row>
    <row r="251" spans="2:15">
      <c r="B251" s="44">
        <f ca="1">VLOOKUP( APIF_Import!$O251, Podesavanja!$N$3:$Q$9, 4, 0)</f>
        <v>3</v>
      </c>
      <c r="C251" s="229">
        <f ca="1">VLOOKUP( APIF_Import!$N251, Aop!$A$2:$P$456, 4, 0)</f>
        <v>312</v>
      </c>
      <c r="D251" s="230" t="str">
        <f ca="1">IF( ISNA( VLOOKUP( APIF_Import!$O251 &amp; APIF_Import!$D$1,Podesavanja!$AA$3:$AD$28, 4, 0)), "", SUBSTITUTE( VALUE( VLOOKUP( APIF_Import!$C251, INDIRECT( "Lookup_" &amp; APIF_Import!$O251), VLOOKUP( APIF_Import!$O251 &amp; APIF_Import!$D$1,Podesavanja!$AA$3:$AD$28, 4, 0), 0)), ".", ","))</f>
        <v>0</v>
      </c>
      <c r="E251" s="230">
        <f ca="1">IF( ISNA( VLOOKUP( APIF_Import!$O251 &amp; APIF_Import!$E$1,Podesavanja!$AA$3:$AD$28, 4, 0)), "", VLOOKUP( APIF_Import!$C251, INDIRECT( "Lookup_" &amp; APIF_Import!$O251), VLOOKUP( APIF_Import!$O251 &amp; APIF_Import!$E$1,Podesavanja!$AA$3:$AD$28, 4, 0), 0))</f>
        <v>0</v>
      </c>
      <c r="F251" s="230" t="str">
        <f ca="1">IF( ISNA( VLOOKUP( APIF_Import!$O251 &amp; APIF_Import!$F$1,Podesavanja!$AA$3:$AD$28, 4, 0)), "", VLOOKUP( APIF_Import!$C251, INDIRECT( "Lookup_" &amp; APIF_Import!$O251), VLOOKUP( APIF_Import!$O251 &amp; APIF_Import!$F$1,Podesavanja!$AA$3:$AD$28, 4, 0), 0))</f>
        <v/>
      </c>
      <c r="G251" s="230" t="str">
        <f ca="1">IF( ISNA( VLOOKUP( APIF_Import!$O251 &amp; APIF_Import!$G$1,Podesavanja!$AA$3:$AD$28, 4, 0)), "", VLOOKUP( APIF_Import!$C251, INDIRECT( "Lookup_" &amp; APIF_Import!$O251), VLOOKUP( APIF_Import!$O251 &amp; APIF_Import!$G$1,Podesavanja!$AA$3:$AD$28, 4, 0), 0))</f>
        <v/>
      </c>
      <c r="H251" s="230" t="str">
        <f ca="1">IF( ISNA( VLOOKUP( APIF_Import!$O251 &amp; APIF_Import!$H$1,Podesavanja!$AA$3:$AD$28, 4, 0)), "", VLOOKUP( APIF_Import!$C251, INDIRECT( "Lookup_" &amp; APIF_Import!$O251), VLOOKUP( APIF_Import!$O251 &amp; APIF_Import!$H$1,Podesavanja!$AA$3:$AD$28, 4, 0), 0))</f>
        <v/>
      </c>
      <c r="I251" s="230" t="str">
        <f ca="1">IF( ISNA( VLOOKUP( APIF_Import!$O251 &amp; APIF_Import!$I$1,Podesavanja!$AA$3:$AD$28, 4, 0)), "", VLOOKUP( APIF_Import!$C251, INDIRECT( "Lookup_" &amp; APIF_Import!$M251:$O251), VLOOKUP( APIF_Import!$O251 &amp; APIF_Import!$I$1,Podesavanja!$AA$3:$AD$28, 4, 0), 0))</f>
        <v/>
      </c>
      <c r="J251" s="230" t="str">
        <f ca="1">IF( ISNA( VLOOKUP( APIF_Import!$O251 &amp; APIF_Import!$J$1,Podesavanja!$AA$3:$AD$28, 4, 0)), "", VLOOKUP( APIF_Import!$C251, INDIRECT( "Lookup_" &amp; APIF_Import!$M251:$O251), VLOOKUP( APIF_Import!$O251 &amp; APIF_Import!$J$1,Podesavanja!$AA$3:$AD$28, 4, 0), 0))</f>
        <v/>
      </c>
      <c r="K251" s="230" t="str">
        <f ca="1">IF( ISNA( VLOOKUP( APIF_Import!$O251 &amp; APIF_Import!$K$1,Podesavanja!$AA$3:$AD$28, 4, 0)), "", VLOOKUP( APIF_Import!$C251, INDIRECT( "Lookup_" &amp; APIF_Import!$M251:$O251), VLOOKUP( APIF_Import!$O251 &amp; APIF_Import!$K$1,Podesavanja!$AA$3:$AD$28, 4, 0), 0))</f>
        <v/>
      </c>
      <c r="L251" s="230" t="str">
        <f ca="1">IF( ISNA( VLOOKUP( APIF_Import!$O251 &amp; APIF_Import!$L$1,Podesavanja!$AA$3:$AD$28, 4, 0)), "", VLOOKUP( APIF_Import!$C251, INDIRECT( "Lookup_" &amp; APIF_Import!$M251:$O251), VLOOKUP( APIF_Import!$O251 &amp; APIF_Import!$L$1,Podesavanja!$AA$3:$AD$28, 4, 0), 0))</f>
        <v/>
      </c>
      <c r="M251" s="230" t="str">
        <f ca="1">IF( ISNA( VLOOKUP( APIF_Import!$O251 &amp; APIF_Import!$M$1,Podesavanja!$AA$3:$AD$28, 4, 0)), "", VLOOKUP( APIF_Import!$C251, INDIRECT( "Lookup_" &amp; APIF_Import!$M251:$O251), VLOOKUP( APIF_Import!$O251 &amp; APIF_Import!$M$1,Podesavanja!$AA$3:$AD$28, 4, 0), 0))</f>
        <v/>
      </c>
      <c r="N251" s="8">
        <v>250</v>
      </c>
      <c r="O251" s="49" t="s">
        <v>2377</v>
      </c>
    </row>
    <row r="252" spans="2:15">
      <c r="B252" s="44">
        <f ca="1">VLOOKUP( APIF_Import!$O252, Podesavanja!$N$3:$Q$9, 4, 0)</f>
        <v>3</v>
      </c>
      <c r="C252" s="229">
        <f ca="1">VLOOKUP( APIF_Import!$N252, Aop!$A$2:$P$456, 4, 0)</f>
        <v>313</v>
      </c>
      <c r="D252" s="230" t="str">
        <f ca="1">IF( ISNA( VLOOKUP( APIF_Import!$O252 &amp; APIF_Import!$D$1,Podesavanja!$AA$3:$AD$28, 4, 0)), "", SUBSTITUTE( VALUE( VLOOKUP( APIF_Import!$C252, INDIRECT( "Lookup_" &amp; APIF_Import!$O252), VLOOKUP( APIF_Import!$O252 &amp; APIF_Import!$D$1,Podesavanja!$AA$3:$AD$28, 4, 0), 0)), ".", ","))</f>
        <v>0</v>
      </c>
      <c r="E252" s="230">
        <f ca="1">IF( ISNA( VLOOKUP( APIF_Import!$O252 &amp; APIF_Import!$E$1,Podesavanja!$AA$3:$AD$28, 4, 0)), "", VLOOKUP( APIF_Import!$C252, INDIRECT( "Lookup_" &amp; APIF_Import!$O252), VLOOKUP( APIF_Import!$O252 &amp; APIF_Import!$E$1,Podesavanja!$AA$3:$AD$28, 4, 0), 0))</f>
        <v>0</v>
      </c>
      <c r="F252" s="230" t="str">
        <f ca="1">IF( ISNA( VLOOKUP( APIF_Import!$O252 &amp; APIF_Import!$F$1,Podesavanja!$AA$3:$AD$28, 4, 0)), "", VLOOKUP( APIF_Import!$C252, INDIRECT( "Lookup_" &amp; APIF_Import!$O252), VLOOKUP( APIF_Import!$O252 &amp; APIF_Import!$F$1,Podesavanja!$AA$3:$AD$28, 4, 0), 0))</f>
        <v/>
      </c>
      <c r="G252" s="230" t="str">
        <f ca="1">IF( ISNA( VLOOKUP( APIF_Import!$O252 &amp; APIF_Import!$G$1,Podesavanja!$AA$3:$AD$28, 4, 0)), "", VLOOKUP( APIF_Import!$C252, INDIRECT( "Lookup_" &amp; APIF_Import!$O252), VLOOKUP( APIF_Import!$O252 &amp; APIF_Import!$G$1,Podesavanja!$AA$3:$AD$28, 4, 0), 0))</f>
        <v/>
      </c>
      <c r="H252" s="230" t="str">
        <f ca="1">IF( ISNA( VLOOKUP( APIF_Import!$O252 &amp; APIF_Import!$H$1,Podesavanja!$AA$3:$AD$28, 4, 0)), "", VLOOKUP( APIF_Import!$C252, INDIRECT( "Lookup_" &amp; APIF_Import!$O252), VLOOKUP( APIF_Import!$O252 &amp; APIF_Import!$H$1,Podesavanja!$AA$3:$AD$28, 4, 0), 0))</f>
        <v/>
      </c>
      <c r="I252" s="230" t="str">
        <f ca="1">IF( ISNA( VLOOKUP( APIF_Import!$O252 &amp; APIF_Import!$I$1,Podesavanja!$AA$3:$AD$28, 4, 0)), "", VLOOKUP( APIF_Import!$C252, INDIRECT( "Lookup_" &amp; APIF_Import!$M252:$O252), VLOOKUP( APIF_Import!$O252 &amp; APIF_Import!$I$1,Podesavanja!$AA$3:$AD$28, 4, 0), 0))</f>
        <v/>
      </c>
      <c r="J252" s="230" t="str">
        <f ca="1">IF( ISNA( VLOOKUP( APIF_Import!$O252 &amp; APIF_Import!$J$1,Podesavanja!$AA$3:$AD$28, 4, 0)), "", VLOOKUP( APIF_Import!$C252, INDIRECT( "Lookup_" &amp; APIF_Import!$M252:$O252), VLOOKUP( APIF_Import!$O252 &amp; APIF_Import!$J$1,Podesavanja!$AA$3:$AD$28, 4, 0), 0))</f>
        <v/>
      </c>
      <c r="K252" s="230" t="str">
        <f ca="1">IF( ISNA( VLOOKUP( APIF_Import!$O252 &amp; APIF_Import!$K$1,Podesavanja!$AA$3:$AD$28, 4, 0)), "", VLOOKUP( APIF_Import!$C252, INDIRECT( "Lookup_" &amp; APIF_Import!$M252:$O252), VLOOKUP( APIF_Import!$O252 &amp; APIF_Import!$K$1,Podesavanja!$AA$3:$AD$28, 4, 0), 0))</f>
        <v/>
      </c>
      <c r="L252" s="230" t="str">
        <f ca="1">IF( ISNA( VLOOKUP( APIF_Import!$O252 &amp; APIF_Import!$L$1,Podesavanja!$AA$3:$AD$28, 4, 0)), "", VLOOKUP( APIF_Import!$C252, INDIRECT( "Lookup_" &amp; APIF_Import!$M252:$O252), VLOOKUP( APIF_Import!$O252 &amp; APIF_Import!$L$1,Podesavanja!$AA$3:$AD$28, 4, 0), 0))</f>
        <v/>
      </c>
      <c r="M252" s="230" t="str">
        <f ca="1">IF( ISNA( VLOOKUP( APIF_Import!$O252 &amp; APIF_Import!$M$1,Podesavanja!$AA$3:$AD$28, 4, 0)), "", VLOOKUP( APIF_Import!$C252, INDIRECT( "Lookup_" &amp; APIF_Import!$M252:$O252), VLOOKUP( APIF_Import!$O252 &amp; APIF_Import!$M$1,Podesavanja!$AA$3:$AD$28, 4, 0), 0))</f>
        <v/>
      </c>
      <c r="N252" s="8">
        <v>251</v>
      </c>
      <c r="O252" s="49" t="s">
        <v>2377</v>
      </c>
    </row>
    <row r="253" spans="2:15">
      <c r="B253" s="44">
        <f ca="1">VLOOKUP( APIF_Import!$O253, Podesavanja!$N$3:$Q$9, 4, 0)</f>
        <v>3</v>
      </c>
      <c r="C253" s="229">
        <f ca="1">VLOOKUP( APIF_Import!$N253, Aop!$A$2:$P$456, 4, 0)</f>
        <v>314</v>
      </c>
      <c r="D253" s="230" t="str">
        <f ca="1">IF( ISNA( VLOOKUP( APIF_Import!$O253 &amp; APIF_Import!$D$1,Podesavanja!$AA$3:$AD$28, 4, 0)), "", SUBSTITUTE( VALUE( VLOOKUP( APIF_Import!$C253, INDIRECT( "Lookup_" &amp; APIF_Import!$O253), VLOOKUP( APIF_Import!$O253 &amp; APIF_Import!$D$1,Podesavanja!$AA$3:$AD$28, 4, 0), 0)), ".", ","))</f>
        <v>0</v>
      </c>
      <c r="E253" s="230">
        <f ca="1">IF( ISNA( VLOOKUP( APIF_Import!$O253 &amp; APIF_Import!$E$1,Podesavanja!$AA$3:$AD$28, 4, 0)), "", VLOOKUP( APIF_Import!$C253, INDIRECT( "Lookup_" &amp; APIF_Import!$O253), VLOOKUP( APIF_Import!$O253 &amp; APIF_Import!$E$1,Podesavanja!$AA$3:$AD$28, 4, 0), 0))</f>
        <v>0</v>
      </c>
      <c r="F253" s="230" t="str">
        <f ca="1">IF( ISNA( VLOOKUP( APIF_Import!$O253 &amp; APIF_Import!$F$1,Podesavanja!$AA$3:$AD$28, 4, 0)), "", VLOOKUP( APIF_Import!$C253, INDIRECT( "Lookup_" &amp; APIF_Import!$O253), VLOOKUP( APIF_Import!$O253 &amp; APIF_Import!$F$1,Podesavanja!$AA$3:$AD$28, 4, 0), 0))</f>
        <v/>
      </c>
      <c r="G253" s="230" t="str">
        <f ca="1">IF( ISNA( VLOOKUP( APIF_Import!$O253 &amp; APIF_Import!$G$1,Podesavanja!$AA$3:$AD$28, 4, 0)), "", VLOOKUP( APIF_Import!$C253, INDIRECT( "Lookup_" &amp; APIF_Import!$O253), VLOOKUP( APIF_Import!$O253 &amp; APIF_Import!$G$1,Podesavanja!$AA$3:$AD$28, 4, 0), 0))</f>
        <v/>
      </c>
      <c r="H253" s="230" t="str">
        <f ca="1">IF( ISNA( VLOOKUP( APIF_Import!$O253 &amp; APIF_Import!$H$1,Podesavanja!$AA$3:$AD$28, 4, 0)), "", VLOOKUP( APIF_Import!$C253, INDIRECT( "Lookup_" &amp; APIF_Import!$O253), VLOOKUP( APIF_Import!$O253 &amp; APIF_Import!$H$1,Podesavanja!$AA$3:$AD$28, 4, 0), 0))</f>
        <v/>
      </c>
      <c r="I253" s="230" t="str">
        <f ca="1">IF( ISNA( VLOOKUP( APIF_Import!$O253 &amp; APIF_Import!$I$1,Podesavanja!$AA$3:$AD$28, 4, 0)), "", VLOOKUP( APIF_Import!$C253, INDIRECT( "Lookup_" &amp; APIF_Import!$M253:$O253), VLOOKUP( APIF_Import!$O253 &amp; APIF_Import!$I$1,Podesavanja!$AA$3:$AD$28, 4, 0), 0))</f>
        <v/>
      </c>
      <c r="J253" s="230" t="str">
        <f ca="1">IF( ISNA( VLOOKUP( APIF_Import!$O253 &amp; APIF_Import!$J$1,Podesavanja!$AA$3:$AD$28, 4, 0)), "", VLOOKUP( APIF_Import!$C253, INDIRECT( "Lookup_" &amp; APIF_Import!$M253:$O253), VLOOKUP( APIF_Import!$O253 &amp; APIF_Import!$J$1,Podesavanja!$AA$3:$AD$28, 4, 0), 0))</f>
        <v/>
      </c>
      <c r="K253" s="230" t="str">
        <f ca="1">IF( ISNA( VLOOKUP( APIF_Import!$O253 &amp; APIF_Import!$K$1,Podesavanja!$AA$3:$AD$28, 4, 0)), "", VLOOKUP( APIF_Import!$C253, INDIRECT( "Lookup_" &amp; APIF_Import!$M253:$O253), VLOOKUP( APIF_Import!$O253 &amp; APIF_Import!$K$1,Podesavanja!$AA$3:$AD$28, 4, 0), 0))</f>
        <v/>
      </c>
      <c r="L253" s="230" t="str">
        <f ca="1">IF( ISNA( VLOOKUP( APIF_Import!$O253 &amp; APIF_Import!$L$1,Podesavanja!$AA$3:$AD$28, 4, 0)), "", VLOOKUP( APIF_Import!$C253, INDIRECT( "Lookup_" &amp; APIF_Import!$M253:$O253), VLOOKUP( APIF_Import!$O253 &amp; APIF_Import!$L$1,Podesavanja!$AA$3:$AD$28, 4, 0), 0))</f>
        <v/>
      </c>
      <c r="M253" s="230" t="str">
        <f ca="1">IF( ISNA( VLOOKUP( APIF_Import!$O253 &amp; APIF_Import!$M$1,Podesavanja!$AA$3:$AD$28, 4, 0)), "", VLOOKUP( APIF_Import!$C253, INDIRECT( "Lookup_" &amp; APIF_Import!$M253:$O253), VLOOKUP( APIF_Import!$O253 &amp; APIF_Import!$M$1,Podesavanja!$AA$3:$AD$28, 4, 0), 0))</f>
        <v/>
      </c>
      <c r="N253" s="8">
        <v>252</v>
      </c>
      <c r="O253" s="49" t="s">
        <v>2377</v>
      </c>
    </row>
    <row r="254" spans="2:15">
      <c r="B254" s="44">
        <f ca="1">VLOOKUP( APIF_Import!$O254, Podesavanja!$N$3:$Q$9, 4, 0)</f>
        <v>3</v>
      </c>
      <c r="C254" s="229">
        <f ca="1">VLOOKUP( APIF_Import!$N254, Aop!$A$2:$P$456, 4, 0)</f>
        <v>315</v>
      </c>
      <c r="D254" s="230" t="str">
        <f ca="1">IF( ISNA( VLOOKUP( APIF_Import!$O254 &amp; APIF_Import!$D$1,Podesavanja!$AA$3:$AD$28, 4, 0)), "", SUBSTITUTE( VALUE( VLOOKUP( APIF_Import!$C254, INDIRECT( "Lookup_" &amp; APIF_Import!$O254), VLOOKUP( APIF_Import!$O254 &amp; APIF_Import!$D$1,Podesavanja!$AA$3:$AD$28, 4, 0), 0)), ".", ","))</f>
        <v>0</v>
      </c>
      <c r="E254" s="230">
        <f ca="1">IF( ISNA( VLOOKUP( APIF_Import!$O254 &amp; APIF_Import!$E$1,Podesavanja!$AA$3:$AD$28, 4, 0)), "", VLOOKUP( APIF_Import!$C254, INDIRECT( "Lookup_" &amp; APIF_Import!$O254), VLOOKUP( APIF_Import!$O254 &amp; APIF_Import!$E$1,Podesavanja!$AA$3:$AD$28, 4, 0), 0))</f>
        <v>0</v>
      </c>
      <c r="F254" s="230" t="str">
        <f ca="1">IF( ISNA( VLOOKUP( APIF_Import!$O254 &amp; APIF_Import!$F$1,Podesavanja!$AA$3:$AD$28, 4, 0)), "", VLOOKUP( APIF_Import!$C254, INDIRECT( "Lookup_" &amp; APIF_Import!$O254), VLOOKUP( APIF_Import!$O254 &amp; APIF_Import!$F$1,Podesavanja!$AA$3:$AD$28, 4, 0), 0))</f>
        <v/>
      </c>
      <c r="G254" s="230" t="str">
        <f ca="1">IF( ISNA( VLOOKUP( APIF_Import!$O254 &amp; APIF_Import!$G$1,Podesavanja!$AA$3:$AD$28, 4, 0)), "", VLOOKUP( APIF_Import!$C254, INDIRECT( "Lookup_" &amp; APIF_Import!$O254), VLOOKUP( APIF_Import!$O254 &amp; APIF_Import!$G$1,Podesavanja!$AA$3:$AD$28, 4, 0), 0))</f>
        <v/>
      </c>
      <c r="H254" s="230" t="str">
        <f ca="1">IF( ISNA( VLOOKUP( APIF_Import!$O254 &amp; APIF_Import!$H$1,Podesavanja!$AA$3:$AD$28, 4, 0)), "", VLOOKUP( APIF_Import!$C254, INDIRECT( "Lookup_" &amp; APIF_Import!$O254), VLOOKUP( APIF_Import!$O254 &amp; APIF_Import!$H$1,Podesavanja!$AA$3:$AD$28, 4, 0), 0))</f>
        <v/>
      </c>
      <c r="I254" s="230" t="str">
        <f ca="1">IF( ISNA( VLOOKUP( APIF_Import!$O254 &amp; APIF_Import!$I$1,Podesavanja!$AA$3:$AD$28, 4, 0)), "", VLOOKUP( APIF_Import!$C254, INDIRECT( "Lookup_" &amp; APIF_Import!$M254:$O254), VLOOKUP( APIF_Import!$O254 &amp; APIF_Import!$I$1,Podesavanja!$AA$3:$AD$28, 4, 0), 0))</f>
        <v/>
      </c>
      <c r="J254" s="230" t="str">
        <f ca="1">IF( ISNA( VLOOKUP( APIF_Import!$O254 &amp; APIF_Import!$J$1,Podesavanja!$AA$3:$AD$28, 4, 0)), "", VLOOKUP( APIF_Import!$C254, INDIRECT( "Lookup_" &amp; APIF_Import!$M254:$O254), VLOOKUP( APIF_Import!$O254 &amp; APIF_Import!$J$1,Podesavanja!$AA$3:$AD$28, 4, 0), 0))</f>
        <v/>
      </c>
      <c r="K254" s="230" t="str">
        <f ca="1">IF( ISNA( VLOOKUP( APIF_Import!$O254 &amp; APIF_Import!$K$1,Podesavanja!$AA$3:$AD$28, 4, 0)), "", VLOOKUP( APIF_Import!$C254, INDIRECT( "Lookup_" &amp; APIF_Import!$M254:$O254), VLOOKUP( APIF_Import!$O254 &amp; APIF_Import!$K$1,Podesavanja!$AA$3:$AD$28, 4, 0), 0))</f>
        <v/>
      </c>
      <c r="L254" s="230" t="str">
        <f ca="1">IF( ISNA( VLOOKUP( APIF_Import!$O254 &amp; APIF_Import!$L$1,Podesavanja!$AA$3:$AD$28, 4, 0)), "", VLOOKUP( APIF_Import!$C254, INDIRECT( "Lookup_" &amp; APIF_Import!$M254:$O254), VLOOKUP( APIF_Import!$O254 &amp; APIF_Import!$L$1,Podesavanja!$AA$3:$AD$28, 4, 0), 0))</f>
        <v/>
      </c>
      <c r="M254" s="230" t="str">
        <f ca="1">IF( ISNA( VLOOKUP( APIF_Import!$O254 &amp; APIF_Import!$M$1,Podesavanja!$AA$3:$AD$28, 4, 0)), "", VLOOKUP( APIF_Import!$C254, INDIRECT( "Lookup_" &amp; APIF_Import!$M254:$O254), VLOOKUP( APIF_Import!$O254 &amp; APIF_Import!$M$1,Podesavanja!$AA$3:$AD$28, 4, 0), 0))</f>
        <v/>
      </c>
      <c r="N254" s="8">
        <v>253</v>
      </c>
      <c r="O254" s="49" t="s">
        <v>2377</v>
      </c>
    </row>
    <row r="255" spans="2:15">
      <c r="B255" s="44">
        <f ca="1">VLOOKUP( APIF_Import!$O255, Podesavanja!$N$3:$Q$9, 4, 0)</f>
        <v>3</v>
      </c>
      <c r="C255" s="229">
        <f ca="1">VLOOKUP( APIF_Import!$N255, Aop!$A$2:$P$456, 4, 0)</f>
        <v>316</v>
      </c>
      <c r="D255" s="230" t="str">
        <f ca="1">IF( ISNA( VLOOKUP( APIF_Import!$O255 &amp; APIF_Import!$D$1,Podesavanja!$AA$3:$AD$28, 4, 0)), "", SUBSTITUTE( VALUE( VLOOKUP( APIF_Import!$C255, INDIRECT( "Lookup_" &amp; APIF_Import!$O255), VLOOKUP( APIF_Import!$O255 &amp; APIF_Import!$D$1,Podesavanja!$AA$3:$AD$28, 4, 0), 0)), ".", ","))</f>
        <v>16300914</v>
      </c>
      <c r="E255" s="230">
        <f ca="1">IF( ISNA( VLOOKUP( APIF_Import!$O255 &amp; APIF_Import!$E$1,Podesavanja!$AA$3:$AD$28, 4, 0)), "", VLOOKUP( APIF_Import!$C255, INDIRECT( "Lookup_" &amp; APIF_Import!$O255), VLOOKUP( APIF_Import!$O255 &amp; APIF_Import!$E$1,Podesavanja!$AA$3:$AD$28, 4, 0), 0))</f>
        <v>33703</v>
      </c>
      <c r="F255" s="230" t="str">
        <f ca="1">IF( ISNA( VLOOKUP( APIF_Import!$O255 &amp; APIF_Import!$F$1,Podesavanja!$AA$3:$AD$28, 4, 0)), "", VLOOKUP( APIF_Import!$C255, INDIRECT( "Lookup_" &amp; APIF_Import!$O255), VLOOKUP( APIF_Import!$O255 &amp; APIF_Import!$F$1,Podesavanja!$AA$3:$AD$28, 4, 0), 0))</f>
        <v/>
      </c>
      <c r="G255" s="230" t="str">
        <f ca="1">IF( ISNA( VLOOKUP( APIF_Import!$O255 &amp; APIF_Import!$G$1,Podesavanja!$AA$3:$AD$28, 4, 0)), "", VLOOKUP( APIF_Import!$C255, INDIRECT( "Lookup_" &amp; APIF_Import!$O255), VLOOKUP( APIF_Import!$O255 &amp; APIF_Import!$G$1,Podesavanja!$AA$3:$AD$28, 4, 0), 0))</f>
        <v/>
      </c>
      <c r="H255" s="230" t="str">
        <f ca="1">IF( ISNA( VLOOKUP( APIF_Import!$O255 &amp; APIF_Import!$H$1,Podesavanja!$AA$3:$AD$28, 4, 0)), "", VLOOKUP( APIF_Import!$C255, INDIRECT( "Lookup_" &amp; APIF_Import!$O255), VLOOKUP( APIF_Import!$O255 &amp; APIF_Import!$H$1,Podesavanja!$AA$3:$AD$28, 4, 0), 0))</f>
        <v/>
      </c>
      <c r="I255" s="230" t="str">
        <f ca="1">IF( ISNA( VLOOKUP( APIF_Import!$O255 &amp; APIF_Import!$I$1,Podesavanja!$AA$3:$AD$28, 4, 0)), "", VLOOKUP( APIF_Import!$C255, INDIRECT( "Lookup_" &amp; APIF_Import!$M255:$O255), VLOOKUP( APIF_Import!$O255 &amp; APIF_Import!$I$1,Podesavanja!$AA$3:$AD$28, 4, 0), 0))</f>
        <v/>
      </c>
      <c r="J255" s="230" t="str">
        <f ca="1">IF( ISNA( VLOOKUP( APIF_Import!$O255 &amp; APIF_Import!$J$1,Podesavanja!$AA$3:$AD$28, 4, 0)), "", VLOOKUP( APIF_Import!$C255, INDIRECT( "Lookup_" &amp; APIF_Import!$M255:$O255), VLOOKUP( APIF_Import!$O255 &amp; APIF_Import!$J$1,Podesavanja!$AA$3:$AD$28, 4, 0), 0))</f>
        <v/>
      </c>
      <c r="K255" s="230" t="str">
        <f ca="1">IF( ISNA( VLOOKUP( APIF_Import!$O255 &amp; APIF_Import!$K$1,Podesavanja!$AA$3:$AD$28, 4, 0)), "", VLOOKUP( APIF_Import!$C255, INDIRECT( "Lookup_" &amp; APIF_Import!$M255:$O255), VLOOKUP( APIF_Import!$O255 &amp; APIF_Import!$K$1,Podesavanja!$AA$3:$AD$28, 4, 0), 0))</f>
        <v/>
      </c>
      <c r="L255" s="230" t="str">
        <f ca="1">IF( ISNA( VLOOKUP( APIF_Import!$O255 &amp; APIF_Import!$L$1,Podesavanja!$AA$3:$AD$28, 4, 0)), "", VLOOKUP( APIF_Import!$C255, INDIRECT( "Lookup_" &amp; APIF_Import!$M255:$O255), VLOOKUP( APIF_Import!$O255 &amp; APIF_Import!$L$1,Podesavanja!$AA$3:$AD$28, 4, 0), 0))</f>
        <v/>
      </c>
      <c r="M255" s="230" t="str">
        <f ca="1">IF( ISNA( VLOOKUP( APIF_Import!$O255 &amp; APIF_Import!$M$1,Podesavanja!$AA$3:$AD$28, 4, 0)), "", VLOOKUP( APIF_Import!$C255, INDIRECT( "Lookup_" &amp; APIF_Import!$M255:$O255), VLOOKUP( APIF_Import!$O255 &amp; APIF_Import!$M$1,Podesavanja!$AA$3:$AD$28, 4, 0), 0))</f>
        <v/>
      </c>
      <c r="N255" s="8">
        <v>254</v>
      </c>
      <c r="O255" s="49" t="s">
        <v>2377</v>
      </c>
    </row>
    <row r="256" spans="2:15">
      <c r="B256" s="44">
        <f ca="1">VLOOKUP( APIF_Import!$O256, Podesavanja!$N$3:$Q$9, 4, 0)</f>
        <v>3</v>
      </c>
      <c r="C256" s="229">
        <f ca="1">VLOOKUP( APIF_Import!$N256, Aop!$A$2:$P$456, 4, 0)</f>
        <v>317</v>
      </c>
      <c r="D256" s="230" t="str">
        <f ca="1">IF( ISNA( VLOOKUP( APIF_Import!$O256 &amp; APIF_Import!$D$1,Podesavanja!$AA$3:$AD$28, 4, 0)), "", SUBSTITUTE( VALUE( VLOOKUP( APIF_Import!$C256, INDIRECT( "Lookup_" &amp; APIF_Import!$O256), VLOOKUP( APIF_Import!$O256 &amp; APIF_Import!$D$1,Podesavanja!$AA$3:$AD$28, 4, 0), 0)), ".", ","))</f>
        <v>0</v>
      </c>
      <c r="E256" s="230">
        <f ca="1">IF( ISNA( VLOOKUP( APIF_Import!$O256 &amp; APIF_Import!$E$1,Podesavanja!$AA$3:$AD$28, 4, 0)), "", VLOOKUP( APIF_Import!$C256, INDIRECT( "Lookup_" &amp; APIF_Import!$O256), VLOOKUP( APIF_Import!$O256 &amp; APIF_Import!$E$1,Podesavanja!$AA$3:$AD$28, 4, 0), 0))</f>
        <v>0</v>
      </c>
      <c r="F256" s="230" t="str">
        <f ca="1">IF( ISNA( VLOOKUP( APIF_Import!$O256 &amp; APIF_Import!$F$1,Podesavanja!$AA$3:$AD$28, 4, 0)), "", VLOOKUP( APIF_Import!$C256, INDIRECT( "Lookup_" &amp; APIF_Import!$O256), VLOOKUP( APIF_Import!$O256 &amp; APIF_Import!$F$1,Podesavanja!$AA$3:$AD$28, 4, 0), 0))</f>
        <v/>
      </c>
      <c r="G256" s="230" t="str">
        <f ca="1">IF( ISNA( VLOOKUP( APIF_Import!$O256 &amp; APIF_Import!$G$1,Podesavanja!$AA$3:$AD$28, 4, 0)), "", VLOOKUP( APIF_Import!$C256, INDIRECT( "Lookup_" &amp; APIF_Import!$O256), VLOOKUP( APIF_Import!$O256 &amp; APIF_Import!$G$1,Podesavanja!$AA$3:$AD$28, 4, 0), 0))</f>
        <v/>
      </c>
      <c r="H256" s="230" t="str">
        <f ca="1">IF( ISNA( VLOOKUP( APIF_Import!$O256 &amp; APIF_Import!$H$1,Podesavanja!$AA$3:$AD$28, 4, 0)), "", VLOOKUP( APIF_Import!$C256, INDIRECT( "Lookup_" &amp; APIF_Import!$O256), VLOOKUP( APIF_Import!$O256 &amp; APIF_Import!$H$1,Podesavanja!$AA$3:$AD$28, 4, 0), 0))</f>
        <v/>
      </c>
      <c r="I256" s="230" t="str">
        <f ca="1">IF( ISNA( VLOOKUP( APIF_Import!$O256 &amp; APIF_Import!$I$1,Podesavanja!$AA$3:$AD$28, 4, 0)), "", VLOOKUP( APIF_Import!$C256, INDIRECT( "Lookup_" &amp; APIF_Import!$M256:$O256), VLOOKUP( APIF_Import!$O256 &amp; APIF_Import!$I$1,Podesavanja!$AA$3:$AD$28, 4, 0), 0))</f>
        <v/>
      </c>
      <c r="J256" s="230" t="str">
        <f ca="1">IF( ISNA( VLOOKUP( APIF_Import!$O256 &amp; APIF_Import!$J$1,Podesavanja!$AA$3:$AD$28, 4, 0)), "", VLOOKUP( APIF_Import!$C256, INDIRECT( "Lookup_" &amp; APIF_Import!$M256:$O256), VLOOKUP( APIF_Import!$O256 &amp; APIF_Import!$J$1,Podesavanja!$AA$3:$AD$28, 4, 0), 0))</f>
        <v/>
      </c>
      <c r="K256" s="230" t="str">
        <f ca="1">IF( ISNA( VLOOKUP( APIF_Import!$O256 &amp; APIF_Import!$K$1,Podesavanja!$AA$3:$AD$28, 4, 0)), "", VLOOKUP( APIF_Import!$C256, INDIRECT( "Lookup_" &amp; APIF_Import!$M256:$O256), VLOOKUP( APIF_Import!$O256 &amp; APIF_Import!$K$1,Podesavanja!$AA$3:$AD$28, 4, 0), 0))</f>
        <v/>
      </c>
      <c r="L256" s="230" t="str">
        <f ca="1">IF( ISNA( VLOOKUP( APIF_Import!$O256 &amp; APIF_Import!$L$1,Podesavanja!$AA$3:$AD$28, 4, 0)), "", VLOOKUP( APIF_Import!$C256, INDIRECT( "Lookup_" &amp; APIF_Import!$M256:$O256), VLOOKUP( APIF_Import!$O256 &amp; APIF_Import!$L$1,Podesavanja!$AA$3:$AD$28, 4, 0), 0))</f>
        <v/>
      </c>
      <c r="M256" s="230" t="str">
        <f ca="1">IF( ISNA( VLOOKUP( APIF_Import!$O256 &amp; APIF_Import!$M$1,Podesavanja!$AA$3:$AD$28, 4, 0)), "", VLOOKUP( APIF_Import!$C256, INDIRECT( "Lookup_" &amp; APIF_Import!$M256:$O256), VLOOKUP( APIF_Import!$O256 &amp; APIF_Import!$M$1,Podesavanja!$AA$3:$AD$28, 4, 0), 0))</f>
        <v/>
      </c>
      <c r="N256" s="8">
        <v>255</v>
      </c>
      <c r="O256" s="49" t="s">
        <v>2377</v>
      </c>
    </row>
    <row r="257" spans="2:15">
      <c r="B257" s="44">
        <f ca="1">VLOOKUP( APIF_Import!$O257, Podesavanja!$N$3:$Q$9, 4, 0)</f>
        <v>3</v>
      </c>
      <c r="C257" s="229">
        <f ca="1">VLOOKUP( APIF_Import!$N257, Aop!$A$2:$P$456, 4, 0)</f>
        <v>318</v>
      </c>
      <c r="D257" s="230" t="str">
        <f ca="1">IF( ISNA( VLOOKUP( APIF_Import!$O257 &amp; APIF_Import!$D$1,Podesavanja!$AA$3:$AD$28, 4, 0)), "", SUBSTITUTE( VALUE( VLOOKUP( APIF_Import!$C257, INDIRECT( "Lookup_" &amp; APIF_Import!$O257), VLOOKUP( APIF_Import!$O257 &amp; APIF_Import!$D$1,Podesavanja!$AA$3:$AD$28, 4, 0), 0)), ".", ","))</f>
        <v>0</v>
      </c>
      <c r="E257" s="230">
        <f ca="1">IF( ISNA( VLOOKUP( APIF_Import!$O257 &amp; APIF_Import!$E$1,Podesavanja!$AA$3:$AD$28, 4, 0)), "", VLOOKUP( APIF_Import!$C257, INDIRECT( "Lookup_" &amp; APIF_Import!$O257), VLOOKUP( APIF_Import!$O257 &amp; APIF_Import!$E$1,Podesavanja!$AA$3:$AD$28, 4, 0), 0))</f>
        <v>0</v>
      </c>
      <c r="F257" s="230" t="str">
        <f ca="1">IF( ISNA( VLOOKUP( APIF_Import!$O257 &amp; APIF_Import!$F$1,Podesavanja!$AA$3:$AD$28, 4, 0)), "", VLOOKUP( APIF_Import!$C257, INDIRECT( "Lookup_" &amp; APIF_Import!$O257), VLOOKUP( APIF_Import!$O257 &amp; APIF_Import!$F$1,Podesavanja!$AA$3:$AD$28, 4, 0), 0))</f>
        <v/>
      </c>
      <c r="G257" s="230" t="str">
        <f ca="1">IF( ISNA( VLOOKUP( APIF_Import!$O257 &amp; APIF_Import!$G$1,Podesavanja!$AA$3:$AD$28, 4, 0)), "", VLOOKUP( APIF_Import!$C257, INDIRECT( "Lookup_" &amp; APIF_Import!$O257), VLOOKUP( APIF_Import!$O257 &amp; APIF_Import!$G$1,Podesavanja!$AA$3:$AD$28, 4, 0), 0))</f>
        <v/>
      </c>
      <c r="H257" s="230" t="str">
        <f ca="1">IF( ISNA( VLOOKUP( APIF_Import!$O257 &amp; APIF_Import!$H$1,Podesavanja!$AA$3:$AD$28, 4, 0)), "", VLOOKUP( APIF_Import!$C257, INDIRECT( "Lookup_" &amp; APIF_Import!$O257), VLOOKUP( APIF_Import!$O257 &amp; APIF_Import!$H$1,Podesavanja!$AA$3:$AD$28, 4, 0), 0))</f>
        <v/>
      </c>
      <c r="I257" s="230" t="str">
        <f ca="1">IF( ISNA( VLOOKUP( APIF_Import!$O257 &amp; APIF_Import!$I$1,Podesavanja!$AA$3:$AD$28, 4, 0)), "", VLOOKUP( APIF_Import!$C257, INDIRECT( "Lookup_" &amp; APIF_Import!$M257:$O257), VLOOKUP( APIF_Import!$O257 &amp; APIF_Import!$I$1,Podesavanja!$AA$3:$AD$28, 4, 0), 0))</f>
        <v/>
      </c>
      <c r="J257" s="230" t="str">
        <f ca="1">IF( ISNA( VLOOKUP( APIF_Import!$O257 &amp; APIF_Import!$J$1,Podesavanja!$AA$3:$AD$28, 4, 0)), "", VLOOKUP( APIF_Import!$C257, INDIRECT( "Lookup_" &amp; APIF_Import!$M257:$O257), VLOOKUP( APIF_Import!$O257 &amp; APIF_Import!$J$1,Podesavanja!$AA$3:$AD$28, 4, 0), 0))</f>
        <v/>
      </c>
      <c r="K257" s="230" t="str">
        <f ca="1">IF( ISNA( VLOOKUP( APIF_Import!$O257 &amp; APIF_Import!$K$1,Podesavanja!$AA$3:$AD$28, 4, 0)), "", VLOOKUP( APIF_Import!$C257, INDIRECT( "Lookup_" &amp; APIF_Import!$M257:$O257), VLOOKUP( APIF_Import!$O257 &amp; APIF_Import!$K$1,Podesavanja!$AA$3:$AD$28, 4, 0), 0))</f>
        <v/>
      </c>
      <c r="L257" s="230" t="str">
        <f ca="1">IF( ISNA( VLOOKUP( APIF_Import!$O257 &amp; APIF_Import!$L$1,Podesavanja!$AA$3:$AD$28, 4, 0)), "", VLOOKUP( APIF_Import!$C257, INDIRECT( "Lookup_" &amp; APIF_Import!$M257:$O257), VLOOKUP( APIF_Import!$O257 &amp; APIF_Import!$L$1,Podesavanja!$AA$3:$AD$28, 4, 0), 0))</f>
        <v/>
      </c>
      <c r="M257" s="230" t="str">
        <f ca="1">IF( ISNA( VLOOKUP( APIF_Import!$O257 &amp; APIF_Import!$M$1,Podesavanja!$AA$3:$AD$28, 4, 0)), "", VLOOKUP( APIF_Import!$C257, INDIRECT( "Lookup_" &amp; APIF_Import!$M257:$O257), VLOOKUP( APIF_Import!$O257 &amp; APIF_Import!$M$1,Podesavanja!$AA$3:$AD$28, 4, 0), 0))</f>
        <v/>
      </c>
      <c r="N257" s="8">
        <v>256</v>
      </c>
      <c r="O257" s="49" t="s">
        <v>2377</v>
      </c>
    </row>
    <row r="258" spans="2:15">
      <c r="B258" s="44">
        <f ca="1">VLOOKUP( APIF_Import!$O258, Podesavanja!$N$3:$Q$9, 4, 0)</f>
        <v>3</v>
      </c>
      <c r="C258" s="229">
        <f ca="1">VLOOKUP( APIF_Import!$N258, Aop!$A$2:$P$456, 4, 0)</f>
        <v>319</v>
      </c>
      <c r="D258" s="230" t="str">
        <f ca="1">IF( ISNA( VLOOKUP( APIF_Import!$O258 &amp; APIF_Import!$D$1,Podesavanja!$AA$3:$AD$28, 4, 0)), "", SUBSTITUTE( VALUE( VLOOKUP( APIF_Import!$C258, INDIRECT( "Lookup_" &amp; APIF_Import!$O258), VLOOKUP( APIF_Import!$O258 &amp; APIF_Import!$D$1,Podesavanja!$AA$3:$AD$28, 4, 0), 0)), ".", ","))</f>
        <v>0</v>
      </c>
      <c r="E258" s="230">
        <f ca="1">IF( ISNA( VLOOKUP( APIF_Import!$O258 &amp; APIF_Import!$E$1,Podesavanja!$AA$3:$AD$28, 4, 0)), "", VLOOKUP( APIF_Import!$C258, INDIRECT( "Lookup_" &amp; APIF_Import!$O258), VLOOKUP( APIF_Import!$O258 &amp; APIF_Import!$E$1,Podesavanja!$AA$3:$AD$28, 4, 0), 0))</f>
        <v>0</v>
      </c>
      <c r="F258" s="230" t="str">
        <f ca="1">IF( ISNA( VLOOKUP( APIF_Import!$O258 &amp; APIF_Import!$F$1,Podesavanja!$AA$3:$AD$28, 4, 0)), "", VLOOKUP( APIF_Import!$C258, INDIRECT( "Lookup_" &amp; APIF_Import!$O258), VLOOKUP( APIF_Import!$O258 &amp; APIF_Import!$F$1,Podesavanja!$AA$3:$AD$28, 4, 0), 0))</f>
        <v/>
      </c>
      <c r="G258" s="230" t="str">
        <f ca="1">IF( ISNA( VLOOKUP( APIF_Import!$O258 &amp; APIF_Import!$G$1,Podesavanja!$AA$3:$AD$28, 4, 0)), "", VLOOKUP( APIF_Import!$C258, INDIRECT( "Lookup_" &amp; APIF_Import!$O258), VLOOKUP( APIF_Import!$O258 &amp; APIF_Import!$G$1,Podesavanja!$AA$3:$AD$28, 4, 0), 0))</f>
        <v/>
      </c>
      <c r="H258" s="230" t="str">
        <f ca="1">IF( ISNA( VLOOKUP( APIF_Import!$O258 &amp; APIF_Import!$H$1,Podesavanja!$AA$3:$AD$28, 4, 0)), "", VLOOKUP( APIF_Import!$C258, INDIRECT( "Lookup_" &amp; APIF_Import!$O258), VLOOKUP( APIF_Import!$O258 &amp; APIF_Import!$H$1,Podesavanja!$AA$3:$AD$28, 4, 0), 0))</f>
        <v/>
      </c>
      <c r="I258" s="230" t="str">
        <f ca="1">IF( ISNA( VLOOKUP( APIF_Import!$O258 &amp; APIF_Import!$I$1,Podesavanja!$AA$3:$AD$28, 4, 0)), "", VLOOKUP( APIF_Import!$C258, INDIRECT( "Lookup_" &amp; APIF_Import!$M258:$O258), VLOOKUP( APIF_Import!$O258 &amp; APIF_Import!$I$1,Podesavanja!$AA$3:$AD$28, 4, 0), 0))</f>
        <v/>
      </c>
      <c r="J258" s="230" t="str">
        <f ca="1">IF( ISNA( VLOOKUP( APIF_Import!$O258 &amp; APIF_Import!$J$1,Podesavanja!$AA$3:$AD$28, 4, 0)), "", VLOOKUP( APIF_Import!$C258, INDIRECT( "Lookup_" &amp; APIF_Import!$M258:$O258), VLOOKUP( APIF_Import!$O258 &amp; APIF_Import!$J$1,Podesavanja!$AA$3:$AD$28, 4, 0), 0))</f>
        <v/>
      </c>
      <c r="K258" s="230" t="str">
        <f ca="1">IF( ISNA( VLOOKUP( APIF_Import!$O258 &amp; APIF_Import!$K$1,Podesavanja!$AA$3:$AD$28, 4, 0)), "", VLOOKUP( APIF_Import!$C258, INDIRECT( "Lookup_" &amp; APIF_Import!$M258:$O258), VLOOKUP( APIF_Import!$O258 &amp; APIF_Import!$K$1,Podesavanja!$AA$3:$AD$28, 4, 0), 0))</f>
        <v/>
      </c>
      <c r="L258" s="230" t="str">
        <f ca="1">IF( ISNA( VLOOKUP( APIF_Import!$O258 &amp; APIF_Import!$L$1,Podesavanja!$AA$3:$AD$28, 4, 0)), "", VLOOKUP( APIF_Import!$C258, INDIRECT( "Lookup_" &amp; APIF_Import!$M258:$O258), VLOOKUP( APIF_Import!$O258 &amp; APIF_Import!$L$1,Podesavanja!$AA$3:$AD$28, 4, 0), 0))</f>
        <v/>
      </c>
      <c r="M258" s="230" t="str">
        <f ca="1">IF( ISNA( VLOOKUP( APIF_Import!$O258 &amp; APIF_Import!$M$1,Podesavanja!$AA$3:$AD$28, 4, 0)), "", VLOOKUP( APIF_Import!$C258, INDIRECT( "Lookup_" &amp; APIF_Import!$M258:$O258), VLOOKUP( APIF_Import!$O258 &amp; APIF_Import!$M$1,Podesavanja!$AA$3:$AD$28, 4, 0), 0))</f>
        <v/>
      </c>
      <c r="N258" s="8">
        <v>257</v>
      </c>
      <c r="O258" s="49" t="s">
        <v>2377</v>
      </c>
    </row>
    <row r="259" spans="2:15">
      <c r="B259" s="44">
        <f ca="1">VLOOKUP( APIF_Import!$O259, Podesavanja!$N$3:$Q$9, 4, 0)</f>
        <v>3</v>
      </c>
      <c r="C259" s="229">
        <f ca="1">VLOOKUP( APIF_Import!$N259, Aop!$A$2:$P$456, 4, 0)</f>
        <v>320</v>
      </c>
      <c r="D259" s="230" t="str">
        <f ca="1">IF( ISNA( VLOOKUP( APIF_Import!$O259 &amp; APIF_Import!$D$1,Podesavanja!$AA$3:$AD$28, 4, 0)), "", SUBSTITUTE( VALUE( VLOOKUP( APIF_Import!$C259, INDIRECT( "Lookup_" &amp; APIF_Import!$O259), VLOOKUP( APIF_Import!$O259 &amp; APIF_Import!$D$1,Podesavanja!$AA$3:$AD$28, 4, 0), 0)), ".", ","))</f>
        <v>0</v>
      </c>
      <c r="E259" s="230">
        <f ca="1">IF( ISNA( VLOOKUP( APIF_Import!$O259 &amp; APIF_Import!$E$1,Podesavanja!$AA$3:$AD$28, 4, 0)), "", VLOOKUP( APIF_Import!$C259, INDIRECT( "Lookup_" &amp; APIF_Import!$O259), VLOOKUP( APIF_Import!$O259 &amp; APIF_Import!$E$1,Podesavanja!$AA$3:$AD$28, 4, 0), 0))</f>
        <v>0</v>
      </c>
      <c r="F259" s="230" t="str">
        <f ca="1">IF( ISNA( VLOOKUP( APIF_Import!$O259 &amp; APIF_Import!$F$1,Podesavanja!$AA$3:$AD$28, 4, 0)), "", VLOOKUP( APIF_Import!$C259, INDIRECT( "Lookup_" &amp; APIF_Import!$O259), VLOOKUP( APIF_Import!$O259 &amp; APIF_Import!$F$1,Podesavanja!$AA$3:$AD$28, 4, 0), 0))</f>
        <v/>
      </c>
      <c r="G259" s="230" t="str">
        <f ca="1">IF( ISNA( VLOOKUP( APIF_Import!$O259 &amp; APIF_Import!$G$1,Podesavanja!$AA$3:$AD$28, 4, 0)), "", VLOOKUP( APIF_Import!$C259, INDIRECT( "Lookup_" &amp; APIF_Import!$O259), VLOOKUP( APIF_Import!$O259 &amp; APIF_Import!$G$1,Podesavanja!$AA$3:$AD$28, 4, 0), 0))</f>
        <v/>
      </c>
      <c r="H259" s="230" t="str">
        <f ca="1">IF( ISNA( VLOOKUP( APIF_Import!$O259 &amp; APIF_Import!$H$1,Podesavanja!$AA$3:$AD$28, 4, 0)), "", VLOOKUP( APIF_Import!$C259, INDIRECT( "Lookup_" &amp; APIF_Import!$O259), VLOOKUP( APIF_Import!$O259 &amp; APIF_Import!$H$1,Podesavanja!$AA$3:$AD$28, 4, 0), 0))</f>
        <v/>
      </c>
      <c r="I259" s="230" t="str">
        <f ca="1">IF( ISNA( VLOOKUP( APIF_Import!$O259 &amp; APIF_Import!$I$1,Podesavanja!$AA$3:$AD$28, 4, 0)), "", VLOOKUP( APIF_Import!$C259, INDIRECT( "Lookup_" &amp; APIF_Import!$M259:$O259), VLOOKUP( APIF_Import!$O259 &amp; APIF_Import!$I$1,Podesavanja!$AA$3:$AD$28, 4, 0), 0))</f>
        <v/>
      </c>
      <c r="J259" s="230" t="str">
        <f ca="1">IF( ISNA( VLOOKUP( APIF_Import!$O259 &amp; APIF_Import!$J$1,Podesavanja!$AA$3:$AD$28, 4, 0)), "", VLOOKUP( APIF_Import!$C259, INDIRECT( "Lookup_" &amp; APIF_Import!$M259:$O259), VLOOKUP( APIF_Import!$O259 &amp; APIF_Import!$J$1,Podesavanja!$AA$3:$AD$28, 4, 0), 0))</f>
        <v/>
      </c>
      <c r="K259" s="230" t="str">
        <f ca="1">IF( ISNA( VLOOKUP( APIF_Import!$O259 &amp; APIF_Import!$K$1,Podesavanja!$AA$3:$AD$28, 4, 0)), "", VLOOKUP( APIF_Import!$C259, INDIRECT( "Lookup_" &amp; APIF_Import!$M259:$O259), VLOOKUP( APIF_Import!$O259 &amp; APIF_Import!$K$1,Podesavanja!$AA$3:$AD$28, 4, 0), 0))</f>
        <v/>
      </c>
      <c r="L259" s="230" t="str">
        <f ca="1">IF( ISNA( VLOOKUP( APIF_Import!$O259 &amp; APIF_Import!$L$1,Podesavanja!$AA$3:$AD$28, 4, 0)), "", VLOOKUP( APIF_Import!$C259, INDIRECT( "Lookup_" &amp; APIF_Import!$M259:$O259), VLOOKUP( APIF_Import!$O259 &amp; APIF_Import!$L$1,Podesavanja!$AA$3:$AD$28, 4, 0), 0))</f>
        <v/>
      </c>
      <c r="M259" s="230" t="str">
        <f ca="1">IF( ISNA( VLOOKUP( APIF_Import!$O259 &amp; APIF_Import!$M$1,Podesavanja!$AA$3:$AD$28, 4, 0)), "", VLOOKUP( APIF_Import!$C259, INDIRECT( "Lookup_" &amp; APIF_Import!$M259:$O259), VLOOKUP( APIF_Import!$O259 &amp; APIF_Import!$M$1,Podesavanja!$AA$3:$AD$28, 4, 0), 0))</f>
        <v/>
      </c>
      <c r="N259" s="8">
        <v>258</v>
      </c>
      <c r="O259" s="49" t="s">
        <v>2377</v>
      </c>
    </row>
    <row r="260" spans="2:15">
      <c r="B260" s="44">
        <f ca="1">VLOOKUP( APIF_Import!$O260, Podesavanja!$N$3:$Q$9, 4, 0)</f>
        <v>3</v>
      </c>
      <c r="C260" s="229">
        <f ca="1">VLOOKUP( APIF_Import!$N260, Aop!$A$2:$P$456, 4, 0)</f>
        <v>321</v>
      </c>
      <c r="D260" s="230" t="str">
        <f ca="1">IF( ISNA( VLOOKUP( APIF_Import!$O260 &amp; APIF_Import!$D$1,Podesavanja!$AA$3:$AD$28, 4, 0)), "", SUBSTITUTE( VALUE( VLOOKUP( APIF_Import!$C260, INDIRECT( "Lookup_" &amp; APIF_Import!$O260), VLOOKUP( APIF_Import!$O260 &amp; APIF_Import!$D$1,Podesavanja!$AA$3:$AD$28, 4, 0), 0)), ".", ","))</f>
        <v>0</v>
      </c>
      <c r="E260" s="230">
        <f ca="1">IF( ISNA( VLOOKUP( APIF_Import!$O260 &amp; APIF_Import!$E$1,Podesavanja!$AA$3:$AD$28, 4, 0)), "", VLOOKUP( APIF_Import!$C260, INDIRECT( "Lookup_" &amp; APIF_Import!$O260), VLOOKUP( APIF_Import!$O260 &amp; APIF_Import!$E$1,Podesavanja!$AA$3:$AD$28, 4, 0), 0))</f>
        <v>0</v>
      </c>
      <c r="F260" s="230" t="str">
        <f ca="1">IF( ISNA( VLOOKUP( APIF_Import!$O260 &amp; APIF_Import!$F$1,Podesavanja!$AA$3:$AD$28, 4, 0)), "", VLOOKUP( APIF_Import!$C260, INDIRECT( "Lookup_" &amp; APIF_Import!$O260), VLOOKUP( APIF_Import!$O260 &amp; APIF_Import!$F$1,Podesavanja!$AA$3:$AD$28, 4, 0), 0))</f>
        <v/>
      </c>
      <c r="G260" s="230" t="str">
        <f ca="1">IF( ISNA( VLOOKUP( APIF_Import!$O260 &amp; APIF_Import!$G$1,Podesavanja!$AA$3:$AD$28, 4, 0)), "", VLOOKUP( APIF_Import!$C260, INDIRECT( "Lookup_" &amp; APIF_Import!$O260), VLOOKUP( APIF_Import!$O260 &amp; APIF_Import!$G$1,Podesavanja!$AA$3:$AD$28, 4, 0), 0))</f>
        <v/>
      </c>
      <c r="H260" s="230" t="str">
        <f ca="1">IF( ISNA( VLOOKUP( APIF_Import!$O260 &amp; APIF_Import!$H$1,Podesavanja!$AA$3:$AD$28, 4, 0)), "", VLOOKUP( APIF_Import!$C260, INDIRECT( "Lookup_" &amp; APIF_Import!$O260), VLOOKUP( APIF_Import!$O260 &amp; APIF_Import!$H$1,Podesavanja!$AA$3:$AD$28, 4, 0), 0))</f>
        <v/>
      </c>
      <c r="I260" s="230" t="str">
        <f ca="1">IF( ISNA( VLOOKUP( APIF_Import!$O260 &amp; APIF_Import!$I$1,Podesavanja!$AA$3:$AD$28, 4, 0)), "", VLOOKUP( APIF_Import!$C260, INDIRECT( "Lookup_" &amp; APIF_Import!$M260:$O260), VLOOKUP( APIF_Import!$O260 &amp; APIF_Import!$I$1,Podesavanja!$AA$3:$AD$28, 4, 0), 0))</f>
        <v/>
      </c>
      <c r="J260" s="230" t="str">
        <f ca="1">IF( ISNA( VLOOKUP( APIF_Import!$O260 &amp; APIF_Import!$J$1,Podesavanja!$AA$3:$AD$28, 4, 0)), "", VLOOKUP( APIF_Import!$C260, INDIRECT( "Lookup_" &amp; APIF_Import!$M260:$O260), VLOOKUP( APIF_Import!$O260 &amp; APIF_Import!$J$1,Podesavanja!$AA$3:$AD$28, 4, 0), 0))</f>
        <v/>
      </c>
      <c r="K260" s="230" t="str">
        <f ca="1">IF( ISNA( VLOOKUP( APIF_Import!$O260 &amp; APIF_Import!$K$1,Podesavanja!$AA$3:$AD$28, 4, 0)), "", VLOOKUP( APIF_Import!$C260, INDIRECT( "Lookup_" &amp; APIF_Import!$M260:$O260), VLOOKUP( APIF_Import!$O260 &amp; APIF_Import!$K$1,Podesavanja!$AA$3:$AD$28, 4, 0), 0))</f>
        <v/>
      </c>
      <c r="L260" s="230" t="str">
        <f ca="1">IF( ISNA( VLOOKUP( APIF_Import!$O260 &amp; APIF_Import!$L$1,Podesavanja!$AA$3:$AD$28, 4, 0)), "", VLOOKUP( APIF_Import!$C260, INDIRECT( "Lookup_" &amp; APIF_Import!$M260:$O260), VLOOKUP( APIF_Import!$O260 &amp; APIF_Import!$L$1,Podesavanja!$AA$3:$AD$28, 4, 0), 0))</f>
        <v/>
      </c>
      <c r="M260" s="230" t="str">
        <f ca="1">IF( ISNA( VLOOKUP( APIF_Import!$O260 &amp; APIF_Import!$M$1,Podesavanja!$AA$3:$AD$28, 4, 0)), "", VLOOKUP( APIF_Import!$C260, INDIRECT( "Lookup_" &amp; APIF_Import!$M260:$O260), VLOOKUP( APIF_Import!$O260 &amp; APIF_Import!$M$1,Podesavanja!$AA$3:$AD$28, 4, 0), 0))</f>
        <v/>
      </c>
      <c r="N260" s="8">
        <v>259</v>
      </c>
      <c r="O260" s="49" t="s">
        <v>2377</v>
      </c>
    </row>
    <row r="261" spans="2:15">
      <c r="B261" s="44">
        <f ca="1">VLOOKUP( APIF_Import!$O261, Podesavanja!$N$3:$Q$9, 4, 0)</f>
        <v>3</v>
      </c>
      <c r="C261" s="229">
        <f ca="1">VLOOKUP( APIF_Import!$N261, Aop!$A$2:$P$456, 4, 0)</f>
        <v>322</v>
      </c>
      <c r="D261" s="230" t="str">
        <f ca="1">IF( ISNA( VLOOKUP( APIF_Import!$O261 &amp; APIF_Import!$D$1,Podesavanja!$AA$3:$AD$28, 4, 0)), "", SUBSTITUTE( VALUE( VLOOKUP( APIF_Import!$C261, INDIRECT( "Lookup_" &amp; APIF_Import!$O261), VLOOKUP( APIF_Import!$O261 &amp; APIF_Import!$D$1,Podesavanja!$AA$3:$AD$28, 4, 0), 0)), ".", ","))</f>
        <v>0</v>
      </c>
      <c r="E261" s="230">
        <f ca="1">IF( ISNA( VLOOKUP( APIF_Import!$O261 &amp; APIF_Import!$E$1,Podesavanja!$AA$3:$AD$28, 4, 0)), "", VLOOKUP( APIF_Import!$C261, INDIRECT( "Lookup_" &amp; APIF_Import!$O261), VLOOKUP( APIF_Import!$O261 &amp; APIF_Import!$E$1,Podesavanja!$AA$3:$AD$28, 4, 0), 0))</f>
        <v>0</v>
      </c>
      <c r="F261" s="230" t="str">
        <f ca="1">IF( ISNA( VLOOKUP( APIF_Import!$O261 &amp; APIF_Import!$F$1,Podesavanja!$AA$3:$AD$28, 4, 0)), "", VLOOKUP( APIF_Import!$C261, INDIRECT( "Lookup_" &amp; APIF_Import!$O261), VLOOKUP( APIF_Import!$O261 &amp; APIF_Import!$F$1,Podesavanja!$AA$3:$AD$28, 4, 0), 0))</f>
        <v/>
      </c>
      <c r="G261" s="230" t="str">
        <f ca="1">IF( ISNA( VLOOKUP( APIF_Import!$O261 &amp; APIF_Import!$G$1,Podesavanja!$AA$3:$AD$28, 4, 0)), "", VLOOKUP( APIF_Import!$C261, INDIRECT( "Lookup_" &amp; APIF_Import!$O261), VLOOKUP( APIF_Import!$O261 &amp; APIF_Import!$G$1,Podesavanja!$AA$3:$AD$28, 4, 0), 0))</f>
        <v/>
      </c>
      <c r="H261" s="230" t="str">
        <f ca="1">IF( ISNA( VLOOKUP( APIF_Import!$O261 &amp; APIF_Import!$H$1,Podesavanja!$AA$3:$AD$28, 4, 0)), "", VLOOKUP( APIF_Import!$C261, INDIRECT( "Lookup_" &amp; APIF_Import!$O261), VLOOKUP( APIF_Import!$O261 &amp; APIF_Import!$H$1,Podesavanja!$AA$3:$AD$28, 4, 0), 0))</f>
        <v/>
      </c>
      <c r="I261" s="230" t="str">
        <f ca="1">IF( ISNA( VLOOKUP( APIF_Import!$O261 &amp; APIF_Import!$I$1,Podesavanja!$AA$3:$AD$28, 4, 0)), "", VLOOKUP( APIF_Import!$C261, INDIRECT( "Lookup_" &amp; APIF_Import!$M261:$O261), VLOOKUP( APIF_Import!$O261 &amp; APIF_Import!$I$1,Podesavanja!$AA$3:$AD$28, 4, 0), 0))</f>
        <v/>
      </c>
      <c r="J261" s="230" t="str">
        <f ca="1">IF( ISNA( VLOOKUP( APIF_Import!$O261 &amp; APIF_Import!$J$1,Podesavanja!$AA$3:$AD$28, 4, 0)), "", VLOOKUP( APIF_Import!$C261, INDIRECT( "Lookup_" &amp; APIF_Import!$M261:$O261), VLOOKUP( APIF_Import!$O261 &amp; APIF_Import!$J$1,Podesavanja!$AA$3:$AD$28, 4, 0), 0))</f>
        <v/>
      </c>
      <c r="K261" s="230" t="str">
        <f ca="1">IF( ISNA( VLOOKUP( APIF_Import!$O261 &amp; APIF_Import!$K$1,Podesavanja!$AA$3:$AD$28, 4, 0)), "", VLOOKUP( APIF_Import!$C261, INDIRECT( "Lookup_" &amp; APIF_Import!$M261:$O261), VLOOKUP( APIF_Import!$O261 &amp; APIF_Import!$K$1,Podesavanja!$AA$3:$AD$28, 4, 0), 0))</f>
        <v/>
      </c>
      <c r="L261" s="230" t="str">
        <f ca="1">IF( ISNA( VLOOKUP( APIF_Import!$O261 &amp; APIF_Import!$L$1,Podesavanja!$AA$3:$AD$28, 4, 0)), "", VLOOKUP( APIF_Import!$C261, INDIRECT( "Lookup_" &amp; APIF_Import!$M261:$O261), VLOOKUP( APIF_Import!$O261 &amp; APIF_Import!$L$1,Podesavanja!$AA$3:$AD$28, 4, 0), 0))</f>
        <v/>
      </c>
      <c r="M261" s="230" t="str">
        <f ca="1">IF( ISNA( VLOOKUP( APIF_Import!$O261 &amp; APIF_Import!$M$1,Podesavanja!$AA$3:$AD$28, 4, 0)), "", VLOOKUP( APIF_Import!$C261, INDIRECT( "Lookup_" &amp; APIF_Import!$M261:$O261), VLOOKUP( APIF_Import!$O261 &amp; APIF_Import!$M$1,Podesavanja!$AA$3:$AD$28, 4, 0), 0))</f>
        <v/>
      </c>
      <c r="N261" s="8">
        <v>260</v>
      </c>
      <c r="O261" s="49" t="s">
        <v>2377</v>
      </c>
    </row>
    <row r="262" spans="2:15">
      <c r="B262" s="44">
        <f ca="1">VLOOKUP( APIF_Import!$O262, Podesavanja!$N$3:$Q$9, 4, 0)</f>
        <v>3</v>
      </c>
      <c r="C262" s="229">
        <f ca="1">VLOOKUP( APIF_Import!$N262, Aop!$A$2:$P$456, 4, 0)</f>
        <v>323</v>
      </c>
      <c r="D262" s="230" t="str">
        <f ca="1">IF( ISNA( VLOOKUP( APIF_Import!$O262 &amp; APIF_Import!$D$1,Podesavanja!$AA$3:$AD$28, 4, 0)), "", SUBSTITUTE( VALUE( VLOOKUP( APIF_Import!$C262, INDIRECT( "Lookup_" &amp; APIF_Import!$O262), VLOOKUP( APIF_Import!$O262 &amp; APIF_Import!$D$1,Podesavanja!$AA$3:$AD$28, 4, 0), 0)), ".", ","))</f>
        <v>47</v>
      </c>
      <c r="E262" s="230">
        <f ca="1">IF( ISNA( VLOOKUP( APIF_Import!$O262 &amp; APIF_Import!$E$1,Podesavanja!$AA$3:$AD$28, 4, 0)), "", VLOOKUP( APIF_Import!$C262, INDIRECT( "Lookup_" &amp; APIF_Import!$O262), VLOOKUP( APIF_Import!$O262 &amp; APIF_Import!$E$1,Podesavanja!$AA$3:$AD$28, 4, 0), 0))</f>
        <v>54</v>
      </c>
      <c r="F262" s="230" t="str">
        <f ca="1">IF( ISNA( VLOOKUP( APIF_Import!$O262 &amp; APIF_Import!$F$1,Podesavanja!$AA$3:$AD$28, 4, 0)), "", VLOOKUP( APIF_Import!$C262, INDIRECT( "Lookup_" &amp; APIF_Import!$O262), VLOOKUP( APIF_Import!$O262 &amp; APIF_Import!$F$1,Podesavanja!$AA$3:$AD$28, 4, 0), 0))</f>
        <v/>
      </c>
      <c r="G262" s="230" t="str">
        <f ca="1">IF( ISNA( VLOOKUP( APIF_Import!$O262 &amp; APIF_Import!$G$1,Podesavanja!$AA$3:$AD$28, 4, 0)), "", VLOOKUP( APIF_Import!$C262, INDIRECT( "Lookup_" &amp; APIF_Import!$O262), VLOOKUP( APIF_Import!$O262 &amp; APIF_Import!$G$1,Podesavanja!$AA$3:$AD$28, 4, 0), 0))</f>
        <v/>
      </c>
      <c r="H262" s="230" t="str">
        <f ca="1">IF( ISNA( VLOOKUP( APIF_Import!$O262 &amp; APIF_Import!$H$1,Podesavanja!$AA$3:$AD$28, 4, 0)), "", VLOOKUP( APIF_Import!$C262, INDIRECT( "Lookup_" &amp; APIF_Import!$O262), VLOOKUP( APIF_Import!$O262 &amp; APIF_Import!$H$1,Podesavanja!$AA$3:$AD$28, 4, 0), 0))</f>
        <v/>
      </c>
      <c r="I262" s="230" t="str">
        <f ca="1">IF( ISNA( VLOOKUP( APIF_Import!$O262 &amp; APIF_Import!$I$1,Podesavanja!$AA$3:$AD$28, 4, 0)), "", VLOOKUP( APIF_Import!$C262, INDIRECT( "Lookup_" &amp; APIF_Import!$M262:$O262), VLOOKUP( APIF_Import!$O262 &amp; APIF_Import!$I$1,Podesavanja!$AA$3:$AD$28, 4, 0), 0))</f>
        <v/>
      </c>
      <c r="J262" s="230" t="str">
        <f ca="1">IF( ISNA( VLOOKUP( APIF_Import!$O262 &amp; APIF_Import!$J$1,Podesavanja!$AA$3:$AD$28, 4, 0)), "", VLOOKUP( APIF_Import!$C262, INDIRECT( "Lookup_" &amp; APIF_Import!$M262:$O262), VLOOKUP( APIF_Import!$O262 &amp; APIF_Import!$J$1,Podesavanja!$AA$3:$AD$28, 4, 0), 0))</f>
        <v/>
      </c>
      <c r="K262" s="230" t="str">
        <f ca="1">IF( ISNA( VLOOKUP( APIF_Import!$O262 &amp; APIF_Import!$K$1,Podesavanja!$AA$3:$AD$28, 4, 0)), "", VLOOKUP( APIF_Import!$C262, INDIRECT( "Lookup_" &amp; APIF_Import!$M262:$O262), VLOOKUP( APIF_Import!$O262 &amp; APIF_Import!$K$1,Podesavanja!$AA$3:$AD$28, 4, 0), 0))</f>
        <v/>
      </c>
      <c r="L262" s="230" t="str">
        <f ca="1">IF( ISNA( VLOOKUP( APIF_Import!$O262 &amp; APIF_Import!$L$1,Podesavanja!$AA$3:$AD$28, 4, 0)), "", VLOOKUP( APIF_Import!$C262, INDIRECT( "Lookup_" &amp; APIF_Import!$M262:$O262), VLOOKUP( APIF_Import!$O262 &amp; APIF_Import!$L$1,Podesavanja!$AA$3:$AD$28, 4, 0), 0))</f>
        <v/>
      </c>
      <c r="M262" s="230" t="str">
        <f ca="1">IF( ISNA( VLOOKUP( APIF_Import!$O262 &amp; APIF_Import!$M$1,Podesavanja!$AA$3:$AD$28, 4, 0)), "", VLOOKUP( APIF_Import!$C262, INDIRECT( "Lookup_" &amp; APIF_Import!$M262:$O262), VLOOKUP( APIF_Import!$O262 &amp; APIF_Import!$M$1,Podesavanja!$AA$3:$AD$28, 4, 0), 0))</f>
        <v/>
      </c>
      <c r="N262" s="8">
        <v>261</v>
      </c>
      <c r="O262" s="49" t="s">
        <v>2377</v>
      </c>
    </row>
    <row r="263" spans="2:15">
      <c r="B263" s="44">
        <f ca="1">VLOOKUP( APIF_Import!$O263, Podesavanja!$N$3:$Q$9, 4, 0)</f>
        <v>3</v>
      </c>
      <c r="C263" s="229">
        <f ca="1">VLOOKUP( APIF_Import!$N263, Aop!$A$2:$P$456, 4, 0)</f>
        <v>324</v>
      </c>
      <c r="D263" s="230" t="str">
        <f ca="1">IF( ISNA( VLOOKUP( APIF_Import!$O263 &amp; APIF_Import!$D$1,Podesavanja!$AA$3:$AD$28, 4, 0)), "", SUBSTITUTE( VALUE( VLOOKUP( APIF_Import!$C263, INDIRECT( "Lookup_" &amp; APIF_Import!$O263), VLOOKUP( APIF_Import!$O263 &amp; APIF_Import!$D$1,Podesavanja!$AA$3:$AD$28, 4, 0), 0)), ".", ","))</f>
        <v>56</v>
      </c>
      <c r="E263" s="230">
        <f ca="1">IF( ISNA( VLOOKUP( APIF_Import!$O263 &amp; APIF_Import!$E$1,Podesavanja!$AA$3:$AD$28, 4, 0)), "", VLOOKUP( APIF_Import!$C263, INDIRECT( "Lookup_" &amp; APIF_Import!$O263), VLOOKUP( APIF_Import!$O263 &amp; APIF_Import!$E$1,Podesavanja!$AA$3:$AD$28, 4, 0), 0))</f>
        <v>57</v>
      </c>
      <c r="F263" s="230" t="str">
        <f ca="1">IF( ISNA( VLOOKUP( APIF_Import!$O263 &amp; APIF_Import!$F$1,Podesavanja!$AA$3:$AD$28, 4, 0)), "", VLOOKUP( APIF_Import!$C263, INDIRECT( "Lookup_" &amp; APIF_Import!$O263), VLOOKUP( APIF_Import!$O263 &amp; APIF_Import!$F$1,Podesavanja!$AA$3:$AD$28, 4, 0), 0))</f>
        <v/>
      </c>
      <c r="G263" s="230" t="str">
        <f ca="1">IF( ISNA( VLOOKUP( APIF_Import!$O263 &amp; APIF_Import!$G$1,Podesavanja!$AA$3:$AD$28, 4, 0)), "", VLOOKUP( APIF_Import!$C263, INDIRECT( "Lookup_" &amp; APIF_Import!$O263), VLOOKUP( APIF_Import!$O263 &amp; APIF_Import!$G$1,Podesavanja!$AA$3:$AD$28, 4, 0), 0))</f>
        <v/>
      </c>
      <c r="H263" s="230" t="str">
        <f ca="1">IF( ISNA( VLOOKUP( APIF_Import!$O263 &amp; APIF_Import!$H$1,Podesavanja!$AA$3:$AD$28, 4, 0)), "", VLOOKUP( APIF_Import!$C263, INDIRECT( "Lookup_" &amp; APIF_Import!$O263), VLOOKUP( APIF_Import!$O263 &amp; APIF_Import!$H$1,Podesavanja!$AA$3:$AD$28, 4, 0), 0))</f>
        <v/>
      </c>
      <c r="I263" s="230" t="str">
        <f ca="1">IF( ISNA( VLOOKUP( APIF_Import!$O263 &amp; APIF_Import!$I$1,Podesavanja!$AA$3:$AD$28, 4, 0)), "", VLOOKUP( APIF_Import!$C263, INDIRECT( "Lookup_" &amp; APIF_Import!$M263:$O263), VLOOKUP( APIF_Import!$O263 &amp; APIF_Import!$I$1,Podesavanja!$AA$3:$AD$28, 4, 0), 0))</f>
        <v/>
      </c>
      <c r="J263" s="230" t="str">
        <f ca="1">IF( ISNA( VLOOKUP( APIF_Import!$O263 &amp; APIF_Import!$J$1,Podesavanja!$AA$3:$AD$28, 4, 0)), "", VLOOKUP( APIF_Import!$C263, INDIRECT( "Lookup_" &amp; APIF_Import!$M263:$O263), VLOOKUP( APIF_Import!$O263 &amp; APIF_Import!$J$1,Podesavanja!$AA$3:$AD$28, 4, 0), 0))</f>
        <v/>
      </c>
      <c r="K263" s="230" t="str">
        <f ca="1">IF( ISNA( VLOOKUP( APIF_Import!$O263 &amp; APIF_Import!$K$1,Podesavanja!$AA$3:$AD$28, 4, 0)), "", VLOOKUP( APIF_Import!$C263, INDIRECT( "Lookup_" &amp; APIF_Import!$M263:$O263), VLOOKUP( APIF_Import!$O263 &amp; APIF_Import!$K$1,Podesavanja!$AA$3:$AD$28, 4, 0), 0))</f>
        <v/>
      </c>
      <c r="L263" s="230" t="str">
        <f ca="1">IF( ISNA( VLOOKUP( APIF_Import!$O263 &amp; APIF_Import!$L$1,Podesavanja!$AA$3:$AD$28, 4, 0)), "", VLOOKUP( APIF_Import!$C263, INDIRECT( "Lookup_" &amp; APIF_Import!$M263:$O263), VLOOKUP( APIF_Import!$O263 &amp; APIF_Import!$L$1,Podesavanja!$AA$3:$AD$28, 4, 0), 0))</f>
        <v/>
      </c>
      <c r="M263" s="230" t="str">
        <f ca="1">IF( ISNA( VLOOKUP( APIF_Import!$O263 &amp; APIF_Import!$M$1,Podesavanja!$AA$3:$AD$28, 4, 0)), "", VLOOKUP( APIF_Import!$C263, INDIRECT( "Lookup_" &amp; APIF_Import!$M263:$O263), VLOOKUP( APIF_Import!$O263 &amp; APIF_Import!$M$1,Podesavanja!$AA$3:$AD$28, 4, 0), 0))</f>
        <v/>
      </c>
      <c r="N263" s="8">
        <v>262</v>
      </c>
      <c r="O263" s="49" t="s">
        <v>2377</v>
      </c>
    </row>
    <row r="264" spans="2:15">
      <c r="B264" s="44">
        <f ca="1">VLOOKUP( APIF_Import!$O264, Podesavanja!$N$3:$Q$9, 4, 0)</f>
        <v>3</v>
      </c>
      <c r="C264" s="229">
        <f ca="1">VLOOKUP( APIF_Import!$N264, Aop!$A$2:$P$456, 4, 0)</f>
        <v>400</v>
      </c>
      <c r="D264" s="230" t="str">
        <f ca="1">IF( ISNA( VLOOKUP( APIF_Import!$O264 &amp; APIF_Import!$D$1,Podesavanja!$AA$3:$AD$28, 4, 0)), "", SUBSTITUTE( VALUE( VLOOKUP( APIF_Import!$C264, INDIRECT( "Lookup_" &amp; APIF_Import!$O264), VLOOKUP( APIF_Import!$O264 &amp; APIF_Import!$D$1,Podesavanja!$AA$3:$AD$28, 4, 0), 0)), ".", ","))</f>
        <v>16300914</v>
      </c>
      <c r="E264" s="230">
        <f ca="1">IF( ISNA( VLOOKUP( APIF_Import!$O264 &amp; APIF_Import!$E$1,Podesavanja!$AA$3:$AD$28, 4, 0)), "", VLOOKUP( APIF_Import!$C264, INDIRECT( "Lookup_" &amp; APIF_Import!$O264), VLOOKUP( APIF_Import!$O264 &amp; APIF_Import!$E$1,Podesavanja!$AA$3:$AD$28, 4, 0), 0))</f>
        <v>33703</v>
      </c>
      <c r="F264" s="230" t="str">
        <f ca="1">IF( ISNA( VLOOKUP( APIF_Import!$O264 &amp; APIF_Import!$F$1,Podesavanja!$AA$3:$AD$28, 4, 0)), "", VLOOKUP( APIF_Import!$C264, INDIRECT( "Lookup_" &amp; APIF_Import!$O264), VLOOKUP( APIF_Import!$O264 &amp; APIF_Import!$F$1,Podesavanja!$AA$3:$AD$28, 4, 0), 0))</f>
        <v/>
      </c>
      <c r="G264" s="230" t="str">
        <f ca="1">IF( ISNA( VLOOKUP( APIF_Import!$O264 &amp; APIF_Import!$G$1,Podesavanja!$AA$3:$AD$28, 4, 0)), "", VLOOKUP( APIF_Import!$C264, INDIRECT( "Lookup_" &amp; APIF_Import!$O264), VLOOKUP( APIF_Import!$O264 &amp; APIF_Import!$G$1,Podesavanja!$AA$3:$AD$28, 4, 0), 0))</f>
        <v/>
      </c>
      <c r="H264" s="230" t="str">
        <f ca="1">IF( ISNA( VLOOKUP( APIF_Import!$O264 &amp; APIF_Import!$H$1,Podesavanja!$AA$3:$AD$28, 4, 0)), "", VLOOKUP( APIF_Import!$C264, INDIRECT( "Lookup_" &amp; APIF_Import!$O264), VLOOKUP( APIF_Import!$O264 &amp; APIF_Import!$H$1,Podesavanja!$AA$3:$AD$28, 4, 0), 0))</f>
        <v/>
      </c>
      <c r="I264" s="230" t="str">
        <f ca="1">IF( ISNA( VLOOKUP( APIF_Import!$O264 &amp; APIF_Import!$I$1,Podesavanja!$AA$3:$AD$28, 4, 0)), "", VLOOKUP( APIF_Import!$C264, INDIRECT( "Lookup_" &amp; APIF_Import!$M264:$O264), VLOOKUP( APIF_Import!$O264 &amp; APIF_Import!$I$1,Podesavanja!$AA$3:$AD$28, 4, 0), 0))</f>
        <v/>
      </c>
      <c r="J264" s="230" t="str">
        <f ca="1">IF( ISNA( VLOOKUP( APIF_Import!$O264 &amp; APIF_Import!$J$1,Podesavanja!$AA$3:$AD$28, 4, 0)), "", VLOOKUP( APIF_Import!$C264, INDIRECT( "Lookup_" &amp; APIF_Import!$M264:$O264), VLOOKUP( APIF_Import!$O264 &amp; APIF_Import!$J$1,Podesavanja!$AA$3:$AD$28, 4, 0), 0))</f>
        <v/>
      </c>
      <c r="K264" s="230" t="str">
        <f ca="1">IF( ISNA( VLOOKUP( APIF_Import!$O264 &amp; APIF_Import!$K$1,Podesavanja!$AA$3:$AD$28, 4, 0)), "", VLOOKUP( APIF_Import!$C264, INDIRECT( "Lookup_" &amp; APIF_Import!$M264:$O264), VLOOKUP( APIF_Import!$O264 &amp; APIF_Import!$K$1,Podesavanja!$AA$3:$AD$28, 4, 0), 0))</f>
        <v/>
      </c>
      <c r="L264" s="230" t="str">
        <f ca="1">IF( ISNA( VLOOKUP( APIF_Import!$O264 &amp; APIF_Import!$L$1,Podesavanja!$AA$3:$AD$28, 4, 0)), "", VLOOKUP( APIF_Import!$C264, INDIRECT( "Lookup_" &amp; APIF_Import!$M264:$O264), VLOOKUP( APIF_Import!$O264 &amp; APIF_Import!$L$1,Podesavanja!$AA$3:$AD$28, 4, 0), 0))</f>
        <v/>
      </c>
      <c r="M264" s="230" t="str">
        <f ca="1">IF( ISNA( VLOOKUP( APIF_Import!$O264 &amp; APIF_Import!$M$1,Podesavanja!$AA$3:$AD$28, 4, 0)), "", VLOOKUP( APIF_Import!$C264, INDIRECT( "Lookup_" &amp; APIF_Import!$M264:$O264), VLOOKUP( APIF_Import!$O264 &amp; APIF_Import!$M$1,Podesavanja!$AA$3:$AD$28, 4, 0), 0))</f>
        <v/>
      </c>
      <c r="N264" s="8">
        <v>263</v>
      </c>
      <c r="O264" s="49" t="s">
        <v>2386</v>
      </c>
    </row>
    <row r="265" spans="2:15">
      <c r="B265" s="44">
        <f ca="1">VLOOKUP( APIF_Import!$O265, Podesavanja!$N$3:$Q$9, 4, 0)</f>
        <v>3</v>
      </c>
      <c r="C265" s="229">
        <f ca="1">VLOOKUP( APIF_Import!$N265, Aop!$A$2:$P$456, 4, 0)</f>
        <v>401</v>
      </c>
      <c r="D265" s="230" t="str">
        <f ca="1">IF( ISNA( VLOOKUP( APIF_Import!$O265 &amp; APIF_Import!$D$1,Podesavanja!$AA$3:$AD$28, 4, 0)), "", SUBSTITUTE( VALUE( VLOOKUP( APIF_Import!$C265, INDIRECT( "Lookup_" &amp; APIF_Import!$O265), VLOOKUP( APIF_Import!$O265 &amp; APIF_Import!$D$1,Podesavanja!$AA$3:$AD$28, 4, 0), 0)), ".", ","))</f>
        <v>0</v>
      </c>
      <c r="E265" s="230">
        <f ca="1">IF( ISNA( VLOOKUP( APIF_Import!$O265 &amp; APIF_Import!$E$1,Podesavanja!$AA$3:$AD$28, 4, 0)), "", VLOOKUP( APIF_Import!$C265, INDIRECT( "Lookup_" &amp; APIF_Import!$O265), VLOOKUP( APIF_Import!$O265 &amp; APIF_Import!$E$1,Podesavanja!$AA$3:$AD$28, 4, 0), 0))</f>
        <v>0</v>
      </c>
      <c r="F265" s="230" t="str">
        <f ca="1">IF( ISNA( VLOOKUP( APIF_Import!$O265 &amp; APIF_Import!$F$1,Podesavanja!$AA$3:$AD$28, 4, 0)), "", VLOOKUP( APIF_Import!$C265, INDIRECT( "Lookup_" &amp; APIF_Import!$O265), VLOOKUP( APIF_Import!$O265 &amp; APIF_Import!$F$1,Podesavanja!$AA$3:$AD$28, 4, 0), 0))</f>
        <v/>
      </c>
      <c r="G265" s="230" t="str">
        <f ca="1">IF( ISNA( VLOOKUP( APIF_Import!$O265 &amp; APIF_Import!$G$1,Podesavanja!$AA$3:$AD$28, 4, 0)), "", VLOOKUP( APIF_Import!$C265, INDIRECT( "Lookup_" &amp; APIF_Import!$O265), VLOOKUP( APIF_Import!$O265 &amp; APIF_Import!$G$1,Podesavanja!$AA$3:$AD$28, 4, 0), 0))</f>
        <v/>
      </c>
      <c r="H265" s="230" t="str">
        <f ca="1">IF( ISNA( VLOOKUP( APIF_Import!$O265 &amp; APIF_Import!$H$1,Podesavanja!$AA$3:$AD$28, 4, 0)), "", VLOOKUP( APIF_Import!$C265, INDIRECT( "Lookup_" &amp; APIF_Import!$O265), VLOOKUP( APIF_Import!$O265 &amp; APIF_Import!$H$1,Podesavanja!$AA$3:$AD$28, 4, 0), 0))</f>
        <v/>
      </c>
      <c r="I265" s="230" t="str">
        <f ca="1">IF( ISNA( VLOOKUP( APIF_Import!$O265 &amp; APIF_Import!$I$1,Podesavanja!$AA$3:$AD$28, 4, 0)), "", VLOOKUP( APIF_Import!$C265, INDIRECT( "Lookup_" &amp; APIF_Import!$M265:$O265), VLOOKUP( APIF_Import!$O265 &amp; APIF_Import!$I$1,Podesavanja!$AA$3:$AD$28, 4, 0), 0))</f>
        <v/>
      </c>
      <c r="J265" s="230" t="str">
        <f ca="1">IF( ISNA( VLOOKUP( APIF_Import!$O265 &amp; APIF_Import!$J$1,Podesavanja!$AA$3:$AD$28, 4, 0)), "", VLOOKUP( APIF_Import!$C265, INDIRECT( "Lookup_" &amp; APIF_Import!$M265:$O265), VLOOKUP( APIF_Import!$O265 &amp; APIF_Import!$J$1,Podesavanja!$AA$3:$AD$28, 4, 0), 0))</f>
        <v/>
      </c>
      <c r="K265" s="230" t="str">
        <f ca="1">IF( ISNA( VLOOKUP( APIF_Import!$O265 &amp; APIF_Import!$K$1,Podesavanja!$AA$3:$AD$28, 4, 0)), "", VLOOKUP( APIF_Import!$C265, INDIRECT( "Lookup_" &amp; APIF_Import!$M265:$O265), VLOOKUP( APIF_Import!$O265 &amp; APIF_Import!$K$1,Podesavanja!$AA$3:$AD$28, 4, 0), 0))</f>
        <v/>
      </c>
      <c r="L265" s="230" t="str">
        <f ca="1">IF( ISNA( VLOOKUP( APIF_Import!$O265 &amp; APIF_Import!$L$1,Podesavanja!$AA$3:$AD$28, 4, 0)), "", VLOOKUP( APIF_Import!$C265, INDIRECT( "Lookup_" &amp; APIF_Import!$M265:$O265), VLOOKUP( APIF_Import!$O265 &amp; APIF_Import!$L$1,Podesavanja!$AA$3:$AD$28, 4, 0), 0))</f>
        <v/>
      </c>
      <c r="M265" s="230" t="str">
        <f ca="1">IF( ISNA( VLOOKUP( APIF_Import!$O265 &amp; APIF_Import!$M$1,Podesavanja!$AA$3:$AD$28, 4, 0)), "", VLOOKUP( APIF_Import!$C265, INDIRECT( "Lookup_" &amp; APIF_Import!$M265:$O265), VLOOKUP( APIF_Import!$O265 &amp; APIF_Import!$M$1,Podesavanja!$AA$3:$AD$28, 4, 0), 0))</f>
        <v/>
      </c>
      <c r="N265" s="8">
        <v>264</v>
      </c>
      <c r="O265" s="49" t="s">
        <v>2386</v>
      </c>
    </row>
    <row r="266" spans="2:15">
      <c r="B266" s="44">
        <f ca="1">VLOOKUP( APIF_Import!$O266, Podesavanja!$N$3:$Q$9, 4, 0)</f>
        <v>3</v>
      </c>
      <c r="C266" s="229">
        <f ca="1">VLOOKUP( APIF_Import!$N266, Aop!$A$2:$P$456, 4, 0)</f>
        <v>402</v>
      </c>
      <c r="D266" s="230" t="str">
        <f ca="1">IF( ISNA( VLOOKUP( APIF_Import!$O266 &amp; APIF_Import!$D$1,Podesavanja!$AA$3:$AD$28, 4, 0)), "", SUBSTITUTE( VALUE( VLOOKUP( APIF_Import!$C266, INDIRECT( "Lookup_" &amp; APIF_Import!$O266), VLOOKUP( APIF_Import!$O266 &amp; APIF_Import!$D$1,Podesavanja!$AA$3:$AD$28, 4, 0), 0)), ".", ","))</f>
        <v>0</v>
      </c>
      <c r="E266" s="230">
        <f ca="1">IF( ISNA( VLOOKUP( APIF_Import!$O266 &amp; APIF_Import!$E$1,Podesavanja!$AA$3:$AD$28, 4, 0)), "", VLOOKUP( APIF_Import!$C266, INDIRECT( "Lookup_" &amp; APIF_Import!$O266), VLOOKUP( APIF_Import!$O266 &amp; APIF_Import!$E$1,Podesavanja!$AA$3:$AD$28, 4, 0), 0))</f>
        <v>0</v>
      </c>
      <c r="F266" s="230" t="str">
        <f ca="1">IF( ISNA( VLOOKUP( APIF_Import!$O266 &amp; APIF_Import!$F$1,Podesavanja!$AA$3:$AD$28, 4, 0)), "", VLOOKUP( APIF_Import!$C266, INDIRECT( "Lookup_" &amp; APIF_Import!$O266), VLOOKUP( APIF_Import!$O266 &amp; APIF_Import!$F$1,Podesavanja!$AA$3:$AD$28, 4, 0), 0))</f>
        <v/>
      </c>
      <c r="G266" s="230" t="str">
        <f ca="1">IF( ISNA( VLOOKUP( APIF_Import!$O266 &amp; APIF_Import!$G$1,Podesavanja!$AA$3:$AD$28, 4, 0)), "", VLOOKUP( APIF_Import!$C266, INDIRECT( "Lookup_" &amp; APIF_Import!$O266), VLOOKUP( APIF_Import!$O266 &amp; APIF_Import!$G$1,Podesavanja!$AA$3:$AD$28, 4, 0), 0))</f>
        <v/>
      </c>
      <c r="H266" s="230" t="str">
        <f ca="1">IF( ISNA( VLOOKUP( APIF_Import!$O266 &amp; APIF_Import!$H$1,Podesavanja!$AA$3:$AD$28, 4, 0)), "", VLOOKUP( APIF_Import!$C266, INDIRECT( "Lookup_" &amp; APIF_Import!$O266), VLOOKUP( APIF_Import!$O266 &amp; APIF_Import!$H$1,Podesavanja!$AA$3:$AD$28, 4, 0), 0))</f>
        <v/>
      </c>
      <c r="I266" s="230" t="str">
        <f ca="1">IF( ISNA( VLOOKUP( APIF_Import!$O266 &amp; APIF_Import!$I$1,Podesavanja!$AA$3:$AD$28, 4, 0)), "", VLOOKUP( APIF_Import!$C266, INDIRECT( "Lookup_" &amp; APIF_Import!$M266:$O266), VLOOKUP( APIF_Import!$O266 &amp; APIF_Import!$I$1,Podesavanja!$AA$3:$AD$28, 4, 0), 0))</f>
        <v/>
      </c>
      <c r="J266" s="230" t="str">
        <f ca="1">IF( ISNA( VLOOKUP( APIF_Import!$O266 &amp; APIF_Import!$J$1,Podesavanja!$AA$3:$AD$28, 4, 0)), "", VLOOKUP( APIF_Import!$C266, INDIRECT( "Lookup_" &amp; APIF_Import!$M266:$O266), VLOOKUP( APIF_Import!$O266 &amp; APIF_Import!$J$1,Podesavanja!$AA$3:$AD$28, 4, 0), 0))</f>
        <v/>
      </c>
      <c r="K266" s="230" t="str">
        <f ca="1">IF( ISNA( VLOOKUP( APIF_Import!$O266 &amp; APIF_Import!$K$1,Podesavanja!$AA$3:$AD$28, 4, 0)), "", VLOOKUP( APIF_Import!$C266, INDIRECT( "Lookup_" &amp; APIF_Import!$M266:$O266), VLOOKUP( APIF_Import!$O266 &amp; APIF_Import!$K$1,Podesavanja!$AA$3:$AD$28, 4, 0), 0))</f>
        <v/>
      </c>
      <c r="L266" s="230" t="str">
        <f ca="1">IF( ISNA( VLOOKUP( APIF_Import!$O266 &amp; APIF_Import!$L$1,Podesavanja!$AA$3:$AD$28, 4, 0)), "", VLOOKUP( APIF_Import!$C266, INDIRECT( "Lookup_" &amp; APIF_Import!$M266:$O266), VLOOKUP( APIF_Import!$O266 &amp; APIF_Import!$L$1,Podesavanja!$AA$3:$AD$28, 4, 0), 0))</f>
        <v/>
      </c>
      <c r="M266" s="230" t="str">
        <f ca="1">IF( ISNA( VLOOKUP( APIF_Import!$O266 &amp; APIF_Import!$M$1,Podesavanja!$AA$3:$AD$28, 4, 0)), "", VLOOKUP( APIF_Import!$C266, INDIRECT( "Lookup_" &amp; APIF_Import!$M266:$O266), VLOOKUP( APIF_Import!$O266 &amp; APIF_Import!$M$1,Podesavanja!$AA$3:$AD$28, 4, 0), 0))</f>
        <v/>
      </c>
      <c r="N266" s="8">
        <v>265</v>
      </c>
      <c r="O266" s="49" t="s">
        <v>2386</v>
      </c>
    </row>
    <row r="267" spans="2:15">
      <c r="B267" s="44">
        <f ca="1">VLOOKUP( APIF_Import!$O267, Podesavanja!$N$3:$Q$9, 4, 0)</f>
        <v>3</v>
      </c>
      <c r="C267" s="229">
        <f ca="1">VLOOKUP( APIF_Import!$N267, Aop!$A$2:$P$456, 4, 0)</f>
        <v>403</v>
      </c>
      <c r="D267" s="230" t="str">
        <f ca="1">IF( ISNA( VLOOKUP( APIF_Import!$O267 &amp; APIF_Import!$D$1,Podesavanja!$AA$3:$AD$28, 4, 0)), "", SUBSTITUTE( VALUE( VLOOKUP( APIF_Import!$C267, INDIRECT( "Lookup_" &amp; APIF_Import!$O267), VLOOKUP( APIF_Import!$O267 &amp; APIF_Import!$D$1,Podesavanja!$AA$3:$AD$28, 4, 0), 0)), ".", ","))</f>
        <v>0</v>
      </c>
      <c r="E267" s="230">
        <f ca="1">IF( ISNA( VLOOKUP( APIF_Import!$O267 &amp; APIF_Import!$E$1,Podesavanja!$AA$3:$AD$28, 4, 0)), "", VLOOKUP( APIF_Import!$C267, INDIRECT( "Lookup_" &amp; APIF_Import!$O267), VLOOKUP( APIF_Import!$O267 &amp; APIF_Import!$E$1,Podesavanja!$AA$3:$AD$28, 4, 0), 0))</f>
        <v>0</v>
      </c>
      <c r="F267" s="230" t="str">
        <f ca="1">IF( ISNA( VLOOKUP( APIF_Import!$O267 &amp; APIF_Import!$F$1,Podesavanja!$AA$3:$AD$28, 4, 0)), "", VLOOKUP( APIF_Import!$C267, INDIRECT( "Lookup_" &amp; APIF_Import!$O267), VLOOKUP( APIF_Import!$O267 &amp; APIF_Import!$F$1,Podesavanja!$AA$3:$AD$28, 4, 0), 0))</f>
        <v/>
      </c>
      <c r="G267" s="230" t="str">
        <f ca="1">IF( ISNA( VLOOKUP( APIF_Import!$O267 &amp; APIF_Import!$G$1,Podesavanja!$AA$3:$AD$28, 4, 0)), "", VLOOKUP( APIF_Import!$C267, INDIRECT( "Lookup_" &amp; APIF_Import!$O267), VLOOKUP( APIF_Import!$O267 &amp; APIF_Import!$G$1,Podesavanja!$AA$3:$AD$28, 4, 0), 0))</f>
        <v/>
      </c>
      <c r="H267" s="230" t="str">
        <f ca="1">IF( ISNA( VLOOKUP( APIF_Import!$O267 &amp; APIF_Import!$H$1,Podesavanja!$AA$3:$AD$28, 4, 0)), "", VLOOKUP( APIF_Import!$C267, INDIRECT( "Lookup_" &amp; APIF_Import!$O267), VLOOKUP( APIF_Import!$O267 &amp; APIF_Import!$H$1,Podesavanja!$AA$3:$AD$28, 4, 0), 0))</f>
        <v/>
      </c>
      <c r="I267" s="230" t="str">
        <f ca="1">IF( ISNA( VLOOKUP( APIF_Import!$O267 &amp; APIF_Import!$I$1,Podesavanja!$AA$3:$AD$28, 4, 0)), "", VLOOKUP( APIF_Import!$C267, INDIRECT( "Lookup_" &amp; APIF_Import!$M267:$O267), VLOOKUP( APIF_Import!$O267 &amp; APIF_Import!$I$1,Podesavanja!$AA$3:$AD$28, 4, 0), 0))</f>
        <v/>
      </c>
      <c r="J267" s="230" t="str">
        <f ca="1">IF( ISNA( VLOOKUP( APIF_Import!$O267 &amp; APIF_Import!$J$1,Podesavanja!$AA$3:$AD$28, 4, 0)), "", VLOOKUP( APIF_Import!$C267, INDIRECT( "Lookup_" &amp; APIF_Import!$M267:$O267), VLOOKUP( APIF_Import!$O267 &amp; APIF_Import!$J$1,Podesavanja!$AA$3:$AD$28, 4, 0), 0))</f>
        <v/>
      </c>
      <c r="K267" s="230" t="str">
        <f ca="1">IF( ISNA( VLOOKUP( APIF_Import!$O267 &amp; APIF_Import!$K$1,Podesavanja!$AA$3:$AD$28, 4, 0)), "", VLOOKUP( APIF_Import!$C267, INDIRECT( "Lookup_" &amp; APIF_Import!$M267:$O267), VLOOKUP( APIF_Import!$O267 &amp; APIF_Import!$K$1,Podesavanja!$AA$3:$AD$28, 4, 0), 0))</f>
        <v/>
      </c>
      <c r="L267" s="230" t="str">
        <f ca="1">IF( ISNA( VLOOKUP( APIF_Import!$O267 &amp; APIF_Import!$L$1,Podesavanja!$AA$3:$AD$28, 4, 0)), "", VLOOKUP( APIF_Import!$C267, INDIRECT( "Lookup_" &amp; APIF_Import!$M267:$O267), VLOOKUP( APIF_Import!$O267 &amp; APIF_Import!$L$1,Podesavanja!$AA$3:$AD$28, 4, 0), 0))</f>
        <v/>
      </c>
      <c r="M267" s="230" t="str">
        <f ca="1">IF( ISNA( VLOOKUP( APIF_Import!$O267 &amp; APIF_Import!$M$1,Podesavanja!$AA$3:$AD$28, 4, 0)), "", VLOOKUP( APIF_Import!$C267, INDIRECT( "Lookup_" &amp; APIF_Import!$M267:$O267), VLOOKUP( APIF_Import!$O267 &amp; APIF_Import!$M$1,Podesavanja!$AA$3:$AD$28, 4, 0), 0))</f>
        <v/>
      </c>
      <c r="N267" s="8">
        <v>266</v>
      </c>
      <c r="O267" s="49" t="s">
        <v>2386</v>
      </c>
    </row>
    <row r="268" spans="2:15">
      <c r="B268" s="44">
        <f ca="1">VLOOKUP( APIF_Import!$O268, Podesavanja!$N$3:$Q$9, 4, 0)</f>
        <v>3</v>
      </c>
      <c r="C268" s="229">
        <f ca="1">VLOOKUP( APIF_Import!$N268, Aop!$A$2:$P$456, 4, 0)</f>
        <v>404</v>
      </c>
      <c r="D268" s="230" t="str">
        <f ca="1">IF( ISNA( VLOOKUP( APIF_Import!$O268 &amp; APIF_Import!$D$1,Podesavanja!$AA$3:$AD$28, 4, 0)), "", SUBSTITUTE( VALUE( VLOOKUP( APIF_Import!$C268, INDIRECT( "Lookup_" &amp; APIF_Import!$O268), VLOOKUP( APIF_Import!$O268 &amp; APIF_Import!$D$1,Podesavanja!$AA$3:$AD$28, 4, 0), 0)), ".", ","))</f>
        <v>0</v>
      </c>
      <c r="E268" s="230">
        <f ca="1">IF( ISNA( VLOOKUP( APIF_Import!$O268 &amp; APIF_Import!$E$1,Podesavanja!$AA$3:$AD$28, 4, 0)), "", VLOOKUP( APIF_Import!$C268, INDIRECT( "Lookup_" &amp; APIF_Import!$O268), VLOOKUP( APIF_Import!$O268 &amp; APIF_Import!$E$1,Podesavanja!$AA$3:$AD$28, 4, 0), 0))</f>
        <v>0</v>
      </c>
      <c r="F268" s="230" t="str">
        <f ca="1">IF( ISNA( VLOOKUP( APIF_Import!$O268 &amp; APIF_Import!$F$1,Podesavanja!$AA$3:$AD$28, 4, 0)), "", VLOOKUP( APIF_Import!$C268, INDIRECT( "Lookup_" &amp; APIF_Import!$O268), VLOOKUP( APIF_Import!$O268 &amp; APIF_Import!$F$1,Podesavanja!$AA$3:$AD$28, 4, 0), 0))</f>
        <v/>
      </c>
      <c r="G268" s="230" t="str">
        <f ca="1">IF( ISNA( VLOOKUP( APIF_Import!$O268 &amp; APIF_Import!$G$1,Podesavanja!$AA$3:$AD$28, 4, 0)), "", VLOOKUP( APIF_Import!$C268, INDIRECT( "Lookup_" &amp; APIF_Import!$O268), VLOOKUP( APIF_Import!$O268 &amp; APIF_Import!$G$1,Podesavanja!$AA$3:$AD$28, 4, 0), 0))</f>
        <v/>
      </c>
      <c r="H268" s="230" t="str">
        <f ca="1">IF( ISNA( VLOOKUP( APIF_Import!$O268 &amp; APIF_Import!$H$1,Podesavanja!$AA$3:$AD$28, 4, 0)), "", VLOOKUP( APIF_Import!$C268, INDIRECT( "Lookup_" &amp; APIF_Import!$O268), VLOOKUP( APIF_Import!$O268 &amp; APIF_Import!$H$1,Podesavanja!$AA$3:$AD$28, 4, 0), 0))</f>
        <v/>
      </c>
      <c r="I268" s="230" t="str">
        <f ca="1">IF( ISNA( VLOOKUP( APIF_Import!$O268 &amp; APIF_Import!$I$1,Podesavanja!$AA$3:$AD$28, 4, 0)), "", VLOOKUP( APIF_Import!$C268, INDIRECT( "Lookup_" &amp; APIF_Import!$M268:$O268), VLOOKUP( APIF_Import!$O268 &amp; APIF_Import!$I$1,Podesavanja!$AA$3:$AD$28, 4, 0), 0))</f>
        <v/>
      </c>
      <c r="J268" s="230" t="str">
        <f ca="1">IF( ISNA( VLOOKUP( APIF_Import!$O268 &amp; APIF_Import!$J$1,Podesavanja!$AA$3:$AD$28, 4, 0)), "", VLOOKUP( APIF_Import!$C268, INDIRECT( "Lookup_" &amp; APIF_Import!$M268:$O268), VLOOKUP( APIF_Import!$O268 &amp; APIF_Import!$J$1,Podesavanja!$AA$3:$AD$28, 4, 0), 0))</f>
        <v/>
      </c>
      <c r="K268" s="230" t="str">
        <f ca="1">IF( ISNA( VLOOKUP( APIF_Import!$O268 &amp; APIF_Import!$K$1,Podesavanja!$AA$3:$AD$28, 4, 0)), "", VLOOKUP( APIF_Import!$C268, INDIRECT( "Lookup_" &amp; APIF_Import!$M268:$O268), VLOOKUP( APIF_Import!$O268 &amp; APIF_Import!$K$1,Podesavanja!$AA$3:$AD$28, 4, 0), 0))</f>
        <v/>
      </c>
      <c r="L268" s="230" t="str">
        <f ca="1">IF( ISNA( VLOOKUP( APIF_Import!$O268 &amp; APIF_Import!$L$1,Podesavanja!$AA$3:$AD$28, 4, 0)), "", VLOOKUP( APIF_Import!$C268, INDIRECT( "Lookup_" &amp; APIF_Import!$M268:$O268), VLOOKUP( APIF_Import!$O268 &amp; APIF_Import!$L$1,Podesavanja!$AA$3:$AD$28, 4, 0), 0))</f>
        <v/>
      </c>
      <c r="M268" s="230" t="str">
        <f ca="1">IF( ISNA( VLOOKUP( APIF_Import!$O268 &amp; APIF_Import!$M$1,Podesavanja!$AA$3:$AD$28, 4, 0)), "", VLOOKUP( APIF_Import!$C268, INDIRECT( "Lookup_" &amp; APIF_Import!$M268:$O268), VLOOKUP( APIF_Import!$O268 &amp; APIF_Import!$M$1,Podesavanja!$AA$3:$AD$28, 4, 0), 0))</f>
        <v/>
      </c>
      <c r="N268" s="8">
        <v>267</v>
      </c>
      <c r="O268" s="49" t="s">
        <v>2386</v>
      </c>
    </row>
    <row r="269" spans="2:15">
      <c r="B269" s="44">
        <f ca="1">VLOOKUP( APIF_Import!$O269, Podesavanja!$N$3:$Q$9, 4, 0)</f>
        <v>3</v>
      </c>
      <c r="C269" s="229">
        <f ca="1">VLOOKUP( APIF_Import!$N269, Aop!$A$2:$P$456, 4, 0)</f>
        <v>405</v>
      </c>
      <c r="D269" s="230" t="str">
        <f ca="1">IF( ISNA( VLOOKUP( APIF_Import!$O269 &amp; APIF_Import!$D$1,Podesavanja!$AA$3:$AD$28, 4, 0)), "", SUBSTITUTE( VALUE( VLOOKUP( APIF_Import!$C269, INDIRECT( "Lookup_" &amp; APIF_Import!$O269), VLOOKUP( APIF_Import!$O269 &amp; APIF_Import!$D$1,Podesavanja!$AA$3:$AD$28, 4, 0), 0)), ".", ","))</f>
        <v>0</v>
      </c>
      <c r="E269" s="230">
        <f ca="1">IF( ISNA( VLOOKUP( APIF_Import!$O269 &amp; APIF_Import!$E$1,Podesavanja!$AA$3:$AD$28, 4, 0)), "", VLOOKUP( APIF_Import!$C269, INDIRECT( "Lookup_" &amp; APIF_Import!$O269), VLOOKUP( APIF_Import!$O269 &amp; APIF_Import!$E$1,Podesavanja!$AA$3:$AD$28, 4, 0), 0))</f>
        <v>0</v>
      </c>
      <c r="F269" s="230" t="str">
        <f ca="1">IF( ISNA( VLOOKUP( APIF_Import!$O269 &amp; APIF_Import!$F$1,Podesavanja!$AA$3:$AD$28, 4, 0)), "", VLOOKUP( APIF_Import!$C269, INDIRECT( "Lookup_" &amp; APIF_Import!$O269), VLOOKUP( APIF_Import!$O269 &amp; APIF_Import!$F$1,Podesavanja!$AA$3:$AD$28, 4, 0), 0))</f>
        <v/>
      </c>
      <c r="G269" s="230" t="str">
        <f ca="1">IF( ISNA( VLOOKUP( APIF_Import!$O269 &amp; APIF_Import!$G$1,Podesavanja!$AA$3:$AD$28, 4, 0)), "", VLOOKUP( APIF_Import!$C269, INDIRECT( "Lookup_" &amp; APIF_Import!$O269), VLOOKUP( APIF_Import!$O269 &amp; APIF_Import!$G$1,Podesavanja!$AA$3:$AD$28, 4, 0), 0))</f>
        <v/>
      </c>
      <c r="H269" s="230" t="str">
        <f ca="1">IF( ISNA( VLOOKUP( APIF_Import!$O269 &amp; APIF_Import!$H$1,Podesavanja!$AA$3:$AD$28, 4, 0)), "", VLOOKUP( APIF_Import!$C269, INDIRECT( "Lookup_" &amp; APIF_Import!$O269), VLOOKUP( APIF_Import!$O269 &amp; APIF_Import!$H$1,Podesavanja!$AA$3:$AD$28, 4, 0), 0))</f>
        <v/>
      </c>
      <c r="I269" s="230" t="str">
        <f ca="1">IF( ISNA( VLOOKUP( APIF_Import!$O269 &amp; APIF_Import!$I$1,Podesavanja!$AA$3:$AD$28, 4, 0)), "", VLOOKUP( APIF_Import!$C269, INDIRECT( "Lookup_" &amp; APIF_Import!$M269:$O269), VLOOKUP( APIF_Import!$O269 &amp; APIF_Import!$I$1,Podesavanja!$AA$3:$AD$28, 4, 0), 0))</f>
        <v/>
      </c>
      <c r="J269" s="230" t="str">
        <f ca="1">IF( ISNA( VLOOKUP( APIF_Import!$O269 &amp; APIF_Import!$J$1,Podesavanja!$AA$3:$AD$28, 4, 0)), "", VLOOKUP( APIF_Import!$C269, INDIRECT( "Lookup_" &amp; APIF_Import!$M269:$O269), VLOOKUP( APIF_Import!$O269 &amp; APIF_Import!$J$1,Podesavanja!$AA$3:$AD$28, 4, 0), 0))</f>
        <v/>
      </c>
      <c r="K269" s="230" t="str">
        <f ca="1">IF( ISNA( VLOOKUP( APIF_Import!$O269 &amp; APIF_Import!$K$1,Podesavanja!$AA$3:$AD$28, 4, 0)), "", VLOOKUP( APIF_Import!$C269, INDIRECT( "Lookup_" &amp; APIF_Import!$M269:$O269), VLOOKUP( APIF_Import!$O269 &amp; APIF_Import!$K$1,Podesavanja!$AA$3:$AD$28, 4, 0), 0))</f>
        <v/>
      </c>
      <c r="L269" s="230" t="str">
        <f ca="1">IF( ISNA( VLOOKUP( APIF_Import!$O269 &amp; APIF_Import!$L$1,Podesavanja!$AA$3:$AD$28, 4, 0)), "", VLOOKUP( APIF_Import!$C269, INDIRECT( "Lookup_" &amp; APIF_Import!$M269:$O269), VLOOKUP( APIF_Import!$O269 &amp; APIF_Import!$L$1,Podesavanja!$AA$3:$AD$28, 4, 0), 0))</f>
        <v/>
      </c>
      <c r="M269" s="230" t="str">
        <f ca="1">IF( ISNA( VLOOKUP( APIF_Import!$O269 &amp; APIF_Import!$M$1,Podesavanja!$AA$3:$AD$28, 4, 0)), "", VLOOKUP( APIF_Import!$C269, INDIRECT( "Lookup_" &amp; APIF_Import!$M269:$O269), VLOOKUP( APIF_Import!$O269 &amp; APIF_Import!$M$1,Podesavanja!$AA$3:$AD$28, 4, 0), 0))</f>
        <v/>
      </c>
      <c r="N269" s="8">
        <v>268</v>
      </c>
      <c r="O269" s="49" t="s">
        <v>2386</v>
      </c>
    </row>
    <row r="270" spans="2:15">
      <c r="B270" s="44">
        <f ca="1">VLOOKUP( APIF_Import!$O270, Podesavanja!$N$3:$Q$9, 4, 0)</f>
        <v>3</v>
      </c>
      <c r="C270" s="229">
        <f ca="1">VLOOKUP( APIF_Import!$N270, Aop!$A$2:$P$456, 4, 0)</f>
        <v>406</v>
      </c>
      <c r="D270" s="230" t="str">
        <f ca="1">IF( ISNA( VLOOKUP( APIF_Import!$O270 &amp; APIF_Import!$D$1,Podesavanja!$AA$3:$AD$28, 4, 0)), "", SUBSTITUTE( VALUE( VLOOKUP( APIF_Import!$C270, INDIRECT( "Lookup_" &amp; APIF_Import!$O270), VLOOKUP( APIF_Import!$O270 &amp; APIF_Import!$D$1,Podesavanja!$AA$3:$AD$28, 4, 0), 0)), ".", ","))</f>
        <v>0</v>
      </c>
      <c r="E270" s="230">
        <f ca="1">IF( ISNA( VLOOKUP( APIF_Import!$O270 &amp; APIF_Import!$E$1,Podesavanja!$AA$3:$AD$28, 4, 0)), "", VLOOKUP( APIF_Import!$C270, INDIRECT( "Lookup_" &amp; APIF_Import!$O270), VLOOKUP( APIF_Import!$O270 &amp; APIF_Import!$E$1,Podesavanja!$AA$3:$AD$28, 4, 0), 0))</f>
        <v>0</v>
      </c>
      <c r="F270" s="230" t="str">
        <f ca="1">IF( ISNA( VLOOKUP( APIF_Import!$O270 &amp; APIF_Import!$F$1,Podesavanja!$AA$3:$AD$28, 4, 0)), "", VLOOKUP( APIF_Import!$C270, INDIRECT( "Lookup_" &amp; APIF_Import!$O270), VLOOKUP( APIF_Import!$O270 &amp; APIF_Import!$F$1,Podesavanja!$AA$3:$AD$28, 4, 0), 0))</f>
        <v/>
      </c>
      <c r="G270" s="230" t="str">
        <f ca="1">IF( ISNA( VLOOKUP( APIF_Import!$O270 &amp; APIF_Import!$G$1,Podesavanja!$AA$3:$AD$28, 4, 0)), "", VLOOKUP( APIF_Import!$C270, INDIRECT( "Lookup_" &amp; APIF_Import!$O270), VLOOKUP( APIF_Import!$O270 &amp; APIF_Import!$G$1,Podesavanja!$AA$3:$AD$28, 4, 0), 0))</f>
        <v/>
      </c>
      <c r="H270" s="230" t="str">
        <f ca="1">IF( ISNA( VLOOKUP( APIF_Import!$O270 &amp; APIF_Import!$H$1,Podesavanja!$AA$3:$AD$28, 4, 0)), "", VLOOKUP( APIF_Import!$C270, INDIRECT( "Lookup_" &amp; APIF_Import!$O270), VLOOKUP( APIF_Import!$O270 &amp; APIF_Import!$H$1,Podesavanja!$AA$3:$AD$28, 4, 0), 0))</f>
        <v/>
      </c>
      <c r="I270" s="230" t="str">
        <f ca="1">IF( ISNA( VLOOKUP( APIF_Import!$O270 &amp; APIF_Import!$I$1,Podesavanja!$AA$3:$AD$28, 4, 0)), "", VLOOKUP( APIF_Import!$C270, INDIRECT( "Lookup_" &amp; APIF_Import!$M270:$O270), VLOOKUP( APIF_Import!$O270 &amp; APIF_Import!$I$1,Podesavanja!$AA$3:$AD$28, 4, 0), 0))</f>
        <v/>
      </c>
      <c r="J270" s="230" t="str">
        <f ca="1">IF( ISNA( VLOOKUP( APIF_Import!$O270 &amp; APIF_Import!$J$1,Podesavanja!$AA$3:$AD$28, 4, 0)), "", VLOOKUP( APIF_Import!$C270, INDIRECT( "Lookup_" &amp; APIF_Import!$M270:$O270), VLOOKUP( APIF_Import!$O270 &amp; APIF_Import!$J$1,Podesavanja!$AA$3:$AD$28, 4, 0), 0))</f>
        <v/>
      </c>
      <c r="K270" s="230" t="str">
        <f ca="1">IF( ISNA( VLOOKUP( APIF_Import!$O270 &amp; APIF_Import!$K$1,Podesavanja!$AA$3:$AD$28, 4, 0)), "", VLOOKUP( APIF_Import!$C270, INDIRECT( "Lookup_" &amp; APIF_Import!$M270:$O270), VLOOKUP( APIF_Import!$O270 &amp; APIF_Import!$K$1,Podesavanja!$AA$3:$AD$28, 4, 0), 0))</f>
        <v/>
      </c>
      <c r="L270" s="230" t="str">
        <f ca="1">IF( ISNA( VLOOKUP( APIF_Import!$O270 &amp; APIF_Import!$L$1,Podesavanja!$AA$3:$AD$28, 4, 0)), "", VLOOKUP( APIF_Import!$C270, INDIRECT( "Lookup_" &amp; APIF_Import!$M270:$O270), VLOOKUP( APIF_Import!$O270 &amp; APIF_Import!$L$1,Podesavanja!$AA$3:$AD$28, 4, 0), 0))</f>
        <v/>
      </c>
      <c r="M270" s="230" t="str">
        <f ca="1">IF( ISNA( VLOOKUP( APIF_Import!$O270 &amp; APIF_Import!$M$1,Podesavanja!$AA$3:$AD$28, 4, 0)), "", VLOOKUP( APIF_Import!$C270, INDIRECT( "Lookup_" &amp; APIF_Import!$M270:$O270), VLOOKUP( APIF_Import!$O270 &amp; APIF_Import!$M$1,Podesavanja!$AA$3:$AD$28, 4, 0), 0))</f>
        <v/>
      </c>
      <c r="N270" s="8">
        <v>269</v>
      </c>
      <c r="O270" s="49" t="s">
        <v>2386</v>
      </c>
    </row>
    <row r="271" spans="2:15">
      <c r="B271" s="44">
        <f ca="1">VLOOKUP( APIF_Import!$O271, Podesavanja!$N$3:$Q$9, 4, 0)</f>
        <v>3</v>
      </c>
      <c r="C271" s="229">
        <f ca="1">VLOOKUP( APIF_Import!$N271, Aop!$A$2:$P$456, 4, 0)</f>
        <v>407</v>
      </c>
      <c r="D271" s="230" t="str">
        <f ca="1">IF( ISNA( VLOOKUP( APIF_Import!$O271 &amp; APIF_Import!$D$1,Podesavanja!$AA$3:$AD$28, 4, 0)), "", SUBSTITUTE( VALUE( VLOOKUP( APIF_Import!$C271, INDIRECT( "Lookup_" &amp; APIF_Import!$O271), VLOOKUP( APIF_Import!$O271 &amp; APIF_Import!$D$1,Podesavanja!$AA$3:$AD$28, 4, 0), 0)), ".", ","))</f>
        <v>0</v>
      </c>
      <c r="E271" s="230">
        <f ca="1">IF( ISNA( VLOOKUP( APIF_Import!$O271 &amp; APIF_Import!$E$1,Podesavanja!$AA$3:$AD$28, 4, 0)), "", VLOOKUP( APIF_Import!$C271, INDIRECT( "Lookup_" &amp; APIF_Import!$O271), VLOOKUP( APIF_Import!$O271 &amp; APIF_Import!$E$1,Podesavanja!$AA$3:$AD$28, 4, 0), 0))</f>
        <v>0</v>
      </c>
      <c r="F271" s="230" t="str">
        <f ca="1">IF( ISNA( VLOOKUP( APIF_Import!$O271 &amp; APIF_Import!$F$1,Podesavanja!$AA$3:$AD$28, 4, 0)), "", VLOOKUP( APIF_Import!$C271, INDIRECT( "Lookup_" &amp; APIF_Import!$O271), VLOOKUP( APIF_Import!$O271 &amp; APIF_Import!$F$1,Podesavanja!$AA$3:$AD$28, 4, 0), 0))</f>
        <v/>
      </c>
      <c r="G271" s="230" t="str">
        <f ca="1">IF( ISNA( VLOOKUP( APIF_Import!$O271 &amp; APIF_Import!$G$1,Podesavanja!$AA$3:$AD$28, 4, 0)), "", VLOOKUP( APIF_Import!$C271, INDIRECT( "Lookup_" &amp; APIF_Import!$O271), VLOOKUP( APIF_Import!$O271 &amp; APIF_Import!$G$1,Podesavanja!$AA$3:$AD$28, 4, 0), 0))</f>
        <v/>
      </c>
      <c r="H271" s="230" t="str">
        <f ca="1">IF( ISNA( VLOOKUP( APIF_Import!$O271 &amp; APIF_Import!$H$1,Podesavanja!$AA$3:$AD$28, 4, 0)), "", VLOOKUP( APIF_Import!$C271, INDIRECT( "Lookup_" &amp; APIF_Import!$O271), VLOOKUP( APIF_Import!$O271 &amp; APIF_Import!$H$1,Podesavanja!$AA$3:$AD$28, 4, 0), 0))</f>
        <v/>
      </c>
      <c r="I271" s="230" t="str">
        <f ca="1">IF( ISNA( VLOOKUP( APIF_Import!$O271 &amp; APIF_Import!$I$1,Podesavanja!$AA$3:$AD$28, 4, 0)), "", VLOOKUP( APIF_Import!$C271, INDIRECT( "Lookup_" &amp; APIF_Import!$M271:$O271), VLOOKUP( APIF_Import!$O271 &amp; APIF_Import!$I$1,Podesavanja!$AA$3:$AD$28, 4, 0), 0))</f>
        <v/>
      </c>
      <c r="J271" s="230" t="str">
        <f ca="1">IF( ISNA( VLOOKUP( APIF_Import!$O271 &amp; APIF_Import!$J$1,Podesavanja!$AA$3:$AD$28, 4, 0)), "", VLOOKUP( APIF_Import!$C271, INDIRECT( "Lookup_" &amp; APIF_Import!$M271:$O271), VLOOKUP( APIF_Import!$O271 &amp; APIF_Import!$J$1,Podesavanja!$AA$3:$AD$28, 4, 0), 0))</f>
        <v/>
      </c>
      <c r="K271" s="230" t="str">
        <f ca="1">IF( ISNA( VLOOKUP( APIF_Import!$O271 &amp; APIF_Import!$K$1,Podesavanja!$AA$3:$AD$28, 4, 0)), "", VLOOKUP( APIF_Import!$C271, INDIRECT( "Lookup_" &amp; APIF_Import!$M271:$O271), VLOOKUP( APIF_Import!$O271 &amp; APIF_Import!$K$1,Podesavanja!$AA$3:$AD$28, 4, 0), 0))</f>
        <v/>
      </c>
      <c r="L271" s="230" t="str">
        <f ca="1">IF( ISNA( VLOOKUP( APIF_Import!$O271 &amp; APIF_Import!$L$1,Podesavanja!$AA$3:$AD$28, 4, 0)), "", VLOOKUP( APIF_Import!$C271, INDIRECT( "Lookup_" &amp; APIF_Import!$M271:$O271), VLOOKUP( APIF_Import!$O271 &amp; APIF_Import!$L$1,Podesavanja!$AA$3:$AD$28, 4, 0), 0))</f>
        <v/>
      </c>
      <c r="M271" s="230" t="str">
        <f ca="1">IF( ISNA( VLOOKUP( APIF_Import!$O271 &amp; APIF_Import!$M$1,Podesavanja!$AA$3:$AD$28, 4, 0)), "", VLOOKUP( APIF_Import!$C271, INDIRECT( "Lookup_" &amp; APIF_Import!$M271:$O271), VLOOKUP( APIF_Import!$O271 &amp; APIF_Import!$M$1,Podesavanja!$AA$3:$AD$28, 4, 0), 0))</f>
        <v/>
      </c>
      <c r="N271" s="8">
        <v>270</v>
      </c>
      <c r="O271" s="49" t="s">
        <v>2386</v>
      </c>
    </row>
    <row r="272" spans="2:15">
      <c r="B272" s="44">
        <f ca="1">VLOOKUP( APIF_Import!$O272, Podesavanja!$N$3:$Q$9, 4, 0)</f>
        <v>3</v>
      </c>
      <c r="C272" s="229">
        <f ca="1">VLOOKUP( APIF_Import!$N272, Aop!$A$2:$P$456, 4, 0)</f>
        <v>408</v>
      </c>
      <c r="D272" s="230" t="str">
        <f ca="1">IF( ISNA( VLOOKUP( APIF_Import!$O272 &amp; APIF_Import!$D$1,Podesavanja!$AA$3:$AD$28, 4, 0)), "", SUBSTITUTE( VALUE( VLOOKUP( APIF_Import!$C272, INDIRECT( "Lookup_" &amp; APIF_Import!$O272), VLOOKUP( APIF_Import!$O272 &amp; APIF_Import!$D$1,Podesavanja!$AA$3:$AD$28, 4, 0), 0)), ".", ","))</f>
        <v>0</v>
      </c>
      <c r="E272" s="230">
        <f ca="1">IF( ISNA( VLOOKUP( APIF_Import!$O272 &amp; APIF_Import!$E$1,Podesavanja!$AA$3:$AD$28, 4, 0)), "", VLOOKUP( APIF_Import!$C272, INDIRECT( "Lookup_" &amp; APIF_Import!$O272), VLOOKUP( APIF_Import!$O272 &amp; APIF_Import!$E$1,Podesavanja!$AA$3:$AD$28, 4, 0), 0))</f>
        <v>0</v>
      </c>
      <c r="F272" s="230" t="str">
        <f ca="1">IF( ISNA( VLOOKUP( APIF_Import!$O272 &amp; APIF_Import!$F$1,Podesavanja!$AA$3:$AD$28, 4, 0)), "", VLOOKUP( APIF_Import!$C272, INDIRECT( "Lookup_" &amp; APIF_Import!$O272), VLOOKUP( APIF_Import!$O272 &amp; APIF_Import!$F$1,Podesavanja!$AA$3:$AD$28, 4, 0), 0))</f>
        <v/>
      </c>
      <c r="G272" s="230" t="str">
        <f ca="1">IF( ISNA( VLOOKUP( APIF_Import!$O272 &amp; APIF_Import!$G$1,Podesavanja!$AA$3:$AD$28, 4, 0)), "", VLOOKUP( APIF_Import!$C272, INDIRECT( "Lookup_" &amp; APIF_Import!$O272), VLOOKUP( APIF_Import!$O272 &amp; APIF_Import!$G$1,Podesavanja!$AA$3:$AD$28, 4, 0), 0))</f>
        <v/>
      </c>
      <c r="H272" s="230" t="str">
        <f ca="1">IF( ISNA( VLOOKUP( APIF_Import!$O272 &amp; APIF_Import!$H$1,Podesavanja!$AA$3:$AD$28, 4, 0)), "", VLOOKUP( APIF_Import!$C272, INDIRECT( "Lookup_" &amp; APIF_Import!$O272), VLOOKUP( APIF_Import!$O272 &amp; APIF_Import!$H$1,Podesavanja!$AA$3:$AD$28, 4, 0), 0))</f>
        <v/>
      </c>
      <c r="I272" s="230" t="str">
        <f ca="1">IF( ISNA( VLOOKUP( APIF_Import!$O272 &amp; APIF_Import!$I$1,Podesavanja!$AA$3:$AD$28, 4, 0)), "", VLOOKUP( APIF_Import!$C272, INDIRECT( "Lookup_" &amp; APIF_Import!$M272:$O272), VLOOKUP( APIF_Import!$O272 &amp; APIF_Import!$I$1,Podesavanja!$AA$3:$AD$28, 4, 0), 0))</f>
        <v/>
      </c>
      <c r="J272" s="230" t="str">
        <f ca="1">IF( ISNA( VLOOKUP( APIF_Import!$O272 &amp; APIF_Import!$J$1,Podesavanja!$AA$3:$AD$28, 4, 0)), "", VLOOKUP( APIF_Import!$C272, INDIRECT( "Lookup_" &amp; APIF_Import!$M272:$O272), VLOOKUP( APIF_Import!$O272 &amp; APIF_Import!$J$1,Podesavanja!$AA$3:$AD$28, 4, 0), 0))</f>
        <v/>
      </c>
      <c r="K272" s="230" t="str">
        <f ca="1">IF( ISNA( VLOOKUP( APIF_Import!$O272 &amp; APIF_Import!$K$1,Podesavanja!$AA$3:$AD$28, 4, 0)), "", VLOOKUP( APIF_Import!$C272, INDIRECT( "Lookup_" &amp; APIF_Import!$M272:$O272), VLOOKUP( APIF_Import!$O272 &amp; APIF_Import!$K$1,Podesavanja!$AA$3:$AD$28, 4, 0), 0))</f>
        <v/>
      </c>
      <c r="L272" s="230" t="str">
        <f ca="1">IF( ISNA( VLOOKUP( APIF_Import!$O272 &amp; APIF_Import!$L$1,Podesavanja!$AA$3:$AD$28, 4, 0)), "", VLOOKUP( APIF_Import!$C272, INDIRECT( "Lookup_" &amp; APIF_Import!$M272:$O272), VLOOKUP( APIF_Import!$O272 &amp; APIF_Import!$L$1,Podesavanja!$AA$3:$AD$28, 4, 0), 0))</f>
        <v/>
      </c>
      <c r="M272" s="230" t="str">
        <f ca="1">IF( ISNA( VLOOKUP( APIF_Import!$O272 &amp; APIF_Import!$M$1,Podesavanja!$AA$3:$AD$28, 4, 0)), "", VLOOKUP( APIF_Import!$C272, INDIRECT( "Lookup_" &amp; APIF_Import!$M272:$O272), VLOOKUP( APIF_Import!$O272 &amp; APIF_Import!$M$1,Podesavanja!$AA$3:$AD$28, 4, 0), 0))</f>
        <v/>
      </c>
      <c r="N272" s="8">
        <v>271</v>
      </c>
      <c r="O272" s="49" t="s">
        <v>2386</v>
      </c>
    </row>
    <row r="273" spans="2:15">
      <c r="B273" s="44">
        <f ca="1">VLOOKUP( APIF_Import!$O273, Podesavanja!$N$3:$Q$9, 4, 0)</f>
        <v>3</v>
      </c>
      <c r="C273" s="229">
        <f ca="1">VLOOKUP( APIF_Import!$N273, Aop!$A$2:$P$456, 4, 0)</f>
        <v>409</v>
      </c>
      <c r="D273" s="230" t="str">
        <f ca="1">IF( ISNA( VLOOKUP( APIF_Import!$O273 &amp; APIF_Import!$D$1,Podesavanja!$AA$3:$AD$28, 4, 0)), "", SUBSTITUTE( VALUE( VLOOKUP( APIF_Import!$C273, INDIRECT( "Lookup_" &amp; APIF_Import!$O273), VLOOKUP( APIF_Import!$O273 &amp; APIF_Import!$D$1,Podesavanja!$AA$3:$AD$28, 4, 0), 0)), ".", ","))</f>
        <v>0</v>
      </c>
      <c r="E273" s="230">
        <f ca="1">IF( ISNA( VLOOKUP( APIF_Import!$O273 &amp; APIF_Import!$E$1,Podesavanja!$AA$3:$AD$28, 4, 0)), "", VLOOKUP( APIF_Import!$C273, INDIRECT( "Lookup_" &amp; APIF_Import!$O273), VLOOKUP( APIF_Import!$O273 &amp; APIF_Import!$E$1,Podesavanja!$AA$3:$AD$28, 4, 0), 0))</f>
        <v>0</v>
      </c>
      <c r="F273" s="230" t="str">
        <f ca="1">IF( ISNA( VLOOKUP( APIF_Import!$O273 &amp; APIF_Import!$F$1,Podesavanja!$AA$3:$AD$28, 4, 0)), "", VLOOKUP( APIF_Import!$C273, INDIRECT( "Lookup_" &amp; APIF_Import!$O273), VLOOKUP( APIF_Import!$O273 &amp; APIF_Import!$F$1,Podesavanja!$AA$3:$AD$28, 4, 0), 0))</f>
        <v/>
      </c>
      <c r="G273" s="230" t="str">
        <f ca="1">IF( ISNA( VLOOKUP( APIF_Import!$O273 &amp; APIF_Import!$G$1,Podesavanja!$AA$3:$AD$28, 4, 0)), "", VLOOKUP( APIF_Import!$C273, INDIRECT( "Lookup_" &amp; APIF_Import!$O273), VLOOKUP( APIF_Import!$O273 &amp; APIF_Import!$G$1,Podesavanja!$AA$3:$AD$28, 4, 0), 0))</f>
        <v/>
      </c>
      <c r="H273" s="230" t="str">
        <f ca="1">IF( ISNA( VLOOKUP( APIF_Import!$O273 &amp; APIF_Import!$H$1,Podesavanja!$AA$3:$AD$28, 4, 0)), "", VLOOKUP( APIF_Import!$C273, INDIRECT( "Lookup_" &amp; APIF_Import!$O273), VLOOKUP( APIF_Import!$O273 &amp; APIF_Import!$H$1,Podesavanja!$AA$3:$AD$28, 4, 0), 0))</f>
        <v/>
      </c>
      <c r="I273" s="230" t="str">
        <f ca="1">IF( ISNA( VLOOKUP( APIF_Import!$O273 &amp; APIF_Import!$I$1,Podesavanja!$AA$3:$AD$28, 4, 0)), "", VLOOKUP( APIF_Import!$C273, INDIRECT( "Lookup_" &amp; APIF_Import!$M273:$O273), VLOOKUP( APIF_Import!$O273 &amp; APIF_Import!$I$1,Podesavanja!$AA$3:$AD$28, 4, 0), 0))</f>
        <v/>
      </c>
      <c r="J273" s="230" t="str">
        <f ca="1">IF( ISNA( VLOOKUP( APIF_Import!$O273 &amp; APIF_Import!$J$1,Podesavanja!$AA$3:$AD$28, 4, 0)), "", VLOOKUP( APIF_Import!$C273, INDIRECT( "Lookup_" &amp; APIF_Import!$M273:$O273), VLOOKUP( APIF_Import!$O273 &amp; APIF_Import!$J$1,Podesavanja!$AA$3:$AD$28, 4, 0), 0))</f>
        <v/>
      </c>
      <c r="K273" s="230" t="str">
        <f ca="1">IF( ISNA( VLOOKUP( APIF_Import!$O273 &amp; APIF_Import!$K$1,Podesavanja!$AA$3:$AD$28, 4, 0)), "", VLOOKUP( APIF_Import!$C273, INDIRECT( "Lookup_" &amp; APIF_Import!$M273:$O273), VLOOKUP( APIF_Import!$O273 &amp; APIF_Import!$K$1,Podesavanja!$AA$3:$AD$28, 4, 0), 0))</f>
        <v/>
      </c>
      <c r="L273" s="230" t="str">
        <f ca="1">IF( ISNA( VLOOKUP( APIF_Import!$O273 &amp; APIF_Import!$L$1,Podesavanja!$AA$3:$AD$28, 4, 0)), "", VLOOKUP( APIF_Import!$C273, INDIRECT( "Lookup_" &amp; APIF_Import!$M273:$O273), VLOOKUP( APIF_Import!$O273 &amp; APIF_Import!$L$1,Podesavanja!$AA$3:$AD$28, 4, 0), 0))</f>
        <v/>
      </c>
      <c r="M273" s="230" t="str">
        <f ca="1">IF( ISNA( VLOOKUP( APIF_Import!$O273 &amp; APIF_Import!$M$1,Podesavanja!$AA$3:$AD$28, 4, 0)), "", VLOOKUP( APIF_Import!$C273, INDIRECT( "Lookup_" &amp; APIF_Import!$M273:$O273), VLOOKUP( APIF_Import!$O273 &amp; APIF_Import!$M$1,Podesavanja!$AA$3:$AD$28, 4, 0), 0))</f>
        <v/>
      </c>
      <c r="N273" s="8">
        <v>272</v>
      </c>
      <c r="O273" s="49" t="s">
        <v>2386</v>
      </c>
    </row>
    <row r="274" spans="2:15">
      <c r="B274" s="44">
        <f ca="1">VLOOKUP( APIF_Import!$O274, Podesavanja!$N$3:$Q$9, 4, 0)</f>
        <v>3</v>
      </c>
      <c r="C274" s="229">
        <f ca="1">VLOOKUP( APIF_Import!$N274, Aop!$A$2:$P$456, 4, 0)</f>
        <v>410</v>
      </c>
      <c r="D274" s="230" t="str">
        <f ca="1">IF( ISNA( VLOOKUP( APIF_Import!$O274 &amp; APIF_Import!$D$1,Podesavanja!$AA$3:$AD$28, 4, 0)), "", SUBSTITUTE( VALUE( VLOOKUP( APIF_Import!$C274, INDIRECT( "Lookup_" &amp; APIF_Import!$O274), VLOOKUP( APIF_Import!$O274 &amp; APIF_Import!$D$1,Podesavanja!$AA$3:$AD$28, 4, 0), 0)), ".", ","))</f>
        <v>0</v>
      </c>
      <c r="E274" s="230">
        <f ca="1">IF( ISNA( VLOOKUP( APIF_Import!$O274 &amp; APIF_Import!$E$1,Podesavanja!$AA$3:$AD$28, 4, 0)), "", VLOOKUP( APIF_Import!$C274, INDIRECT( "Lookup_" &amp; APIF_Import!$O274), VLOOKUP( APIF_Import!$O274 &amp; APIF_Import!$E$1,Podesavanja!$AA$3:$AD$28, 4, 0), 0))</f>
        <v>0</v>
      </c>
      <c r="F274" s="230" t="str">
        <f ca="1">IF( ISNA( VLOOKUP( APIF_Import!$O274 &amp; APIF_Import!$F$1,Podesavanja!$AA$3:$AD$28, 4, 0)), "", VLOOKUP( APIF_Import!$C274, INDIRECT( "Lookup_" &amp; APIF_Import!$O274), VLOOKUP( APIF_Import!$O274 &amp; APIF_Import!$F$1,Podesavanja!$AA$3:$AD$28, 4, 0), 0))</f>
        <v/>
      </c>
      <c r="G274" s="230" t="str">
        <f ca="1">IF( ISNA( VLOOKUP( APIF_Import!$O274 &amp; APIF_Import!$G$1,Podesavanja!$AA$3:$AD$28, 4, 0)), "", VLOOKUP( APIF_Import!$C274, INDIRECT( "Lookup_" &amp; APIF_Import!$O274), VLOOKUP( APIF_Import!$O274 &amp; APIF_Import!$G$1,Podesavanja!$AA$3:$AD$28, 4, 0), 0))</f>
        <v/>
      </c>
      <c r="H274" s="230" t="str">
        <f ca="1">IF( ISNA( VLOOKUP( APIF_Import!$O274 &amp; APIF_Import!$H$1,Podesavanja!$AA$3:$AD$28, 4, 0)), "", VLOOKUP( APIF_Import!$C274, INDIRECT( "Lookup_" &amp; APIF_Import!$O274), VLOOKUP( APIF_Import!$O274 &amp; APIF_Import!$H$1,Podesavanja!$AA$3:$AD$28, 4, 0), 0))</f>
        <v/>
      </c>
      <c r="I274" s="230" t="str">
        <f ca="1">IF( ISNA( VLOOKUP( APIF_Import!$O274 &amp; APIF_Import!$I$1,Podesavanja!$AA$3:$AD$28, 4, 0)), "", VLOOKUP( APIF_Import!$C274, INDIRECT( "Lookup_" &amp; APIF_Import!$M274:$O274), VLOOKUP( APIF_Import!$O274 &amp; APIF_Import!$I$1,Podesavanja!$AA$3:$AD$28, 4, 0), 0))</f>
        <v/>
      </c>
      <c r="J274" s="230" t="str">
        <f ca="1">IF( ISNA( VLOOKUP( APIF_Import!$O274 &amp; APIF_Import!$J$1,Podesavanja!$AA$3:$AD$28, 4, 0)), "", VLOOKUP( APIF_Import!$C274, INDIRECT( "Lookup_" &amp; APIF_Import!$M274:$O274), VLOOKUP( APIF_Import!$O274 &amp; APIF_Import!$J$1,Podesavanja!$AA$3:$AD$28, 4, 0), 0))</f>
        <v/>
      </c>
      <c r="K274" s="230" t="str">
        <f ca="1">IF( ISNA( VLOOKUP( APIF_Import!$O274 &amp; APIF_Import!$K$1,Podesavanja!$AA$3:$AD$28, 4, 0)), "", VLOOKUP( APIF_Import!$C274, INDIRECT( "Lookup_" &amp; APIF_Import!$M274:$O274), VLOOKUP( APIF_Import!$O274 &amp; APIF_Import!$K$1,Podesavanja!$AA$3:$AD$28, 4, 0), 0))</f>
        <v/>
      </c>
      <c r="L274" s="230" t="str">
        <f ca="1">IF( ISNA( VLOOKUP( APIF_Import!$O274 &amp; APIF_Import!$L$1,Podesavanja!$AA$3:$AD$28, 4, 0)), "", VLOOKUP( APIF_Import!$C274, INDIRECT( "Lookup_" &amp; APIF_Import!$M274:$O274), VLOOKUP( APIF_Import!$O274 &amp; APIF_Import!$L$1,Podesavanja!$AA$3:$AD$28, 4, 0), 0))</f>
        <v/>
      </c>
      <c r="M274" s="230" t="str">
        <f ca="1">IF( ISNA( VLOOKUP( APIF_Import!$O274 &amp; APIF_Import!$M$1,Podesavanja!$AA$3:$AD$28, 4, 0)), "", VLOOKUP( APIF_Import!$C274, INDIRECT( "Lookup_" &amp; APIF_Import!$M274:$O274), VLOOKUP( APIF_Import!$O274 &amp; APIF_Import!$M$1,Podesavanja!$AA$3:$AD$28, 4, 0), 0))</f>
        <v/>
      </c>
      <c r="N274" s="8">
        <v>273</v>
      </c>
      <c r="O274" s="49" t="s">
        <v>2386</v>
      </c>
    </row>
    <row r="275" spans="2:15">
      <c r="B275" s="44">
        <f ca="1">VLOOKUP( APIF_Import!$O275, Podesavanja!$N$3:$Q$9, 4, 0)</f>
        <v>3</v>
      </c>
      <c r="C275" s="229">
        <f ca="1">VLOOKUP( APIF_Import!$N275, Aop!$A$2:$P$456, 4, 0)</f>
        <v>411</v>
      </c>
      <c r="D275" s="230" t="str">
        <f ca="1">IF( ISNA( VLOOKUP( APIF_Import!$O275 &amp; APIF_Import!$D$1,Podesavanja!$AA$3:$AD$28, 4, 0)), "", SUBSTITUTE( VALUE( VLOOKUP( APIF_Import!$C275, INDIRECT( "Lookup_" &amp; APIF_Import!$O275), VLOOKUP( APIF_Import!$O275 &amp; APIF_Import!$D$1,Podesavanja!$AA$3:$AD$28, 4, 0), 0)), ".", ","))</f>
        <v>0</v>
      </c>
      <c r="E275" s="230">
        <f ca="1">IF( ISNA( VLOOKUP( APIF_Import!$O275 &amp; APIF_Import!$E$1,Podesavanja!$AA$3:$AD$28, 4, 0)), "", VLOOKUP( APIF_Import!$C275, INDIRECT( "Lookup_" &amp; APIF_Import!$O275), VLOOKUP( APIF_Import!$O275 &amp; APIF_Import!$E$1,Podesavanja!$AA$3:$AD$28, 4, 0), 0))</f>
        <v>0</v>
      </c>
      <c r="F275" s="230" t="str">
        <f ca="1">IF( ISNA( VLOOKUP( APIF_Import!$O275 &amp; APIF_Import!$F$1,Podesavanja!$AA$3:$AD$28, 4, 0)), "", VLOOKUP( APIF_Import!$C275, INDIRECT( "Lookup_" &amp; APIF_Import!$O275), VLOOKUP( APIF_Import!$O275 &amp; APIF_Import!$F$1,Podesavanja!$AA$3:$AD$28, 4, 0), 0))</f>
        <v/>
      </c>
      <c r="G275" s="230" t="str">
        <f ca="1">IF( ISNA( VLOOKUP( APIF_Import!$O275 &amp; APIF_Import!$G$1,Podesavanja!$AA$3:$AD$28, 4, 0)), "", VLOOKUP( APIF_Import!$C275, INDIRECT( "Lookup_" &amp; APIF_Import!$O275), VLOOKUP( APIF_Import!$O275 &amp; APIF_Import!$G$1,Podesavanja!$AA$3:$AD$28, 4, 0), 0))</f>
        <v/>
      </c>
      <c r="H275" s="230" t="str">
        <f ca="1">IF( ISNA( VLOOKUP( APIF_Import!$O275 &amp; APIF_Import!$H$1,Podesavanja!$AA$3:$AD$28, 4, 0)), "", VLOOKUP( APIF_Import!$C275, INDIRECT( "Lookup_" &amp; APIF_Import!$O275), VLOOKUP( APIF_Import!$O275 &amp; APIF_Import!$H$1,Podesavanja!$AA$3:$AD$28, 4, 0), 0))</f>
        <v/>
      </c>
      <c r="I275" s="230" t="str">
        <f ca="1">IF( ISNA( VLOOKUP( APIF_Import!$O275 &amp; APIF_Import!$I$1,Podesavanja!$AA$3:$AD$28, 4, 0)), "", VLOOKUP( APIF_Import!$C275, INDIRECT( "Lookup_" &amp; APIF_Import!$M275:$O275), VLOOKUP( APIF_Import!$O275 &amp; APIF_Import!$I$1,Podesavanja!$AA$3:$AD$28, 4, 0), 0))</f>
        <v/>
      </c>
      <c r="J275" s="230" t="str">
        <f ca="1">IF( ISNA( VLOOKUP( APIF_Import!$O275 &amp; APIF_Import!$J$1,Podesavanja!$AA$3:$AD$28, 4, 0)), "", VLOOKUP( APIF_Import!$C275, INDIRECT( "Lookup_" &amp; APIF_Import!$M275:$O275), VLOOKUP( APIF_Import!$O275 &amp; APIF_Import!$J$1,Podesavanja!$AA$3:$AD$28, 4, 0), 0))</f>
        <v/>
      </c>
      <c r="K275" s="230" t="str">
        <f ca="1">IF( ISNA( VLOOKUP( APIF_Import!$O275 &amp; APIF_Import!$K$1,Podesavanja!$AA$3:$AD$28, 4, 0)), "", VLOOKUP( APIF_Import!$C275, INDIRECT( "Lookup_" &amp; APIF_Import!$M275:$O275), VLOOKUP( APIF_Import!$O275 &amp; APIF_Import!$K$1,Podesavanja!$AA$3:$AD$28, 4, 0), 0))</f>
        <v/>
      </c>
      <c r="L275" s="230" t="str">
        <f ca="1">IF( ISNA( VLOOKUP( APIF_Import!$O275 &amp; APIF_Import!$L$1,Podesavanja!$AA$3:$AD$28, 4, 0)), "", VLOOKUP( APIF_Import!$C275, INDIRECT( "Lookup_" &amp; APIF_Import!$M275:$O275), VLOOKUP( APIF_Import!$O275 &amp; APIF_Import!$L$1,Podesavanja!$AA$3:$AD$28, 4, 0), 0))</f>
        <v/>
      </c>
      <c r="M275" s="230" t="str">
        <f ca="1">IF( ISNA( VLOOKUP( APIF_Import!$O275 &amp; APIF_Import!$M$1,Podesavanja!$AA$3:$AD$28, 4, 0)), "", VLOOKUP( APIF_Import!$C275, INDIRECT( "Lookup_" &amp; APIF_Import!$M275:$O275), VLOOKUP( APIF_Import!$O275 &amp; APIF_Import!$M$1,Podesavanja!$AA$3:$AD$28, 4, 0), 0))</f>
        <v/>
      </c>
      <c r="N275" s="8">
        <v>274</v>
      </c>
      <c r="O275" s="49" t="s">
        <v>2386</v>
      </c>
    </row>
    <row r="276" spans="2:15">
      <c r="B276" s="44">
        <f ca="1">VLOOKUP( APIF_Import!$O276, Podesavanja!$N$3:$Q$9, 4, 0)</f>
        <v>3</v>
      </c>
      <c r="C276" s="229">
        <f ca="1">VLOOKUP( APIF_Import!$N276, Aop!$A$2:$P$456, 4, 0)</f>
        <v>412</v>
      </c>
      <c r="D276" s="230" t="str">
        <f ca="1">IF( ISNA( VLOOKUP( APIF_Import!$O276 &amp; APIF_Import!$D$1,Podesavanja!$AA$3:$AD$28, 4, 0)), "", SUBSTITUTE( VALUE( VLOOKUP( APIF_Import!$C276, INDIRECT( "Lookup_" &amp; APIF_Import!$O276), VLOOKUP( APIF_Import!$O276 &amp; APIF_Import!$D$1,Podesavanja!$AA$3:$AD$28, 4, 0), 0)), ".", ","))</f>
        <v>0</v>
      </c>
      <c r="E276" s="230">
        <f ca="1">IF( ISNA( VLOOKUP( APIF_Import!$O276 &amp; APIF_Import!$E$1,Podesavanja!$AA$3:$AD$28, 4, 0)), "", VLOOKUP( APIF_Import!$C276, INDIRECT( "Lookup_" &amp; APIF_Import!$O276), VLOOKUP( APIF_Import!$O276 &amp; APIF_Import!$E$1,Podesavanja!$AA$3:$AD$28, 4, 0), 0))</f>
        <v>0</v>
      </c>
      <c r="F276" s="230" t="str">
        <f ca="1">IF( ISNA( VLOOKUP( APIF_Import!$O276 &amp; APIF_Import!$F$1,Podesavanja!$AA$3:$AD$28, 4, 0)), "", VLOOKUP( APIF_Import!$C276, INDIRECT( "Lookup_" &amp; APIF_Import!$O276), VLOOKUP( APIF_Import!$O276 &amp; APIF_Import!$F$1,Podesavanja!$AA$3:$AD$28, 4, 0), 0))</f>
        <v/>
      </c>
      <c r="G276" s="230" t="str">
        <f ca="1">IF( ISNA( VLOOKUP( APIF_Import!$O276 &amp; APIF_Import!$G$1,Podesavanja!$AA$3:$AD$28, 4, 0)), "", VLOOKUP( APIF_Import!$C276, INDIRECT( "Lookup_" &amp; APIF_Import!$O276), VLOOKUP( APIF_Import!$O276 &amp; APIF_Import!$G$1,Podesavanja!$AA$3:$AD$28, 4, 0), 0))</f>
        <v/>
      </c>
      <c r="H276" s="230" t="str">
        <f ca="1">IF( ISNA( VLOOKUP( APIF_Import!$O276 &amp; APIF_Import!$H$1,Podesavanja!$AA$3:$AD$28, 4, 0)), "", VLOOKUP( APIF_Import!$C276, INDIRECT( "Lookup_" &amp; APIF_Import!$O276), VLOOKUP( APIF_Import!$O276 &amp; APIF_Import!$H$1,Podesavanja!$AA$3:$AD$28, 4, 0), 0))</f>
        <v/>
      </c>
      <c r="I276" s="230" t="str">
        <f ca="1">IF( ISNA( VLOOKUP( APIF_Import!$O276 &amp; APIF_Import!$I$1,Podesavanja!$AA$3:$AD$28, 4, 0)), "", VLOOKUP( APIF_Import!$C276, INDIRECT( "Lookup_" &amp; APIF_Import!$M276:$O276), VLOOKUP( APIF_Import!$O276 &amp; APIF_Import!$I$1,Podesavanja!$AA$3:$AD$28, 4, 0), 0))</f>
        <v/>
      </c>
      <c r="J276" s="230" t="str">
        <f ca="1">IF( ISNA( VLOOKUP( APIF_Import!$O276 &amp; APIF_Import!$J$1,Podesavanja!$AA$3:$AD$28, 4, 0)), "", VLOOKUP( APIF_Import!$C276, INDIRECT( "Lookup_" &amp; APIF_Import!$M276:$O276), VLOOKUP( APIF_Import!$O276 &amp; APIF_Import!$J$1,Podesavanja!$AA$3:$AD$28, 4, 0), 0))</f>
        <v/>
      </c>
      <c r="K276" s="230" t="str">
        <f ca="1">IF( ISNA( VLOOKUP( APIF_Import!$O276 &amp; APIF_Import!$K$1,Podesavanja!$AA$3:$AD$28, 4, 0)), "", VLOOKUP( APIF_Import!$C276, INDIRECT( "Lookup_" &amp; APIF_Import!$M276:$O276), VLOOKUP( APIF_Import!$O276 &amp; APIF_Import!$K$1,Podesavanja!$AA$3:$AD$28, 4, 0), 0))</f>
        <v/>
      </c>
      <c r="L276" s="230" t="str">
        <f ca="1">IF( ISNA( VLOOKUP( APIF_Import!$O276 &amp; APIF_Import!$L$1,Podesavanja!$AA$3:$AD$28, 4, 0)), "", VLOOKUP( APIF_Import!$C276, INDIRECT( "Lookup_" &amp; APIF_Import!$M276:$O276), VLOOKUP( APIF_Import!$O276 &amp; APIF_Import!$L$1,Podesavanja!$AA$3:$AD$28, 4, 0), 0))</f>
        <v/>
      </c>
      <c r="M276" s="230" t="str">
        <f ca="1">IF( ISNA( VLOOKUP( APIF_Import!$O276 &amp; APIF_Import!$M$1,Podesavanja!$AA$3:$AD$28, 4, 0)), "", VLOOKUP( APIF_Import!$C276, INDIRECT( "Lookup_" &amp; APIF_Import!$M276:$O276), VLOOKUP( APIF_Import!$O276 &amp; APIF_Import!$M$1,Podesavanja!$AA$3:$AD$28, 4, 0), 0))</f>
        <v/>
      </c>
      <c r="N276" s="8">
        <v>275</v>
      </c>
      <c r="O276" s="49" t="s">
        <v>2386</v>
      </c>
    </row>
    <row r="277" spans="2:15">
      <c r="B277" s="44">
        <f ca="1">VLOOKUP( APIF_Import!$O277, Podesavanja!$N$3:$Q$9, 4, 0)</f>
        <v>3</v>
      </c>
      <c r="C277" s="229">
        <f ca="1">VLOOKUP( APIF_Import!$N277, Aop!$A$2:$P$456, 4, 0)</f>
        <v>413</v>
      </c>
      <c r="D277" s="230" t="str">
        <f ca="1">IF( ISNA( VLOOKUP( APIF_Import!$O277 &amp; APIF_Import!$D$1,Podesavanja!$AA$3:$AD$28, 4, 0)), "", SUBSTITUTE( VALUE( VLOOKUP( APIF_Import!$C277, INDIRECT( "Lookup_" &amp; APIF_Import!$O277), VLOOKUP( APIF_Import!$O277 &amp; APIF_Import!$D$1,Podesavanja!$AA$3:$AD$28, 4, 0), 0)), ".", ","))</f>
        <v>0</v>
      </c>
      <c r="E277" s="230">
        <f ca="1">IF( ISNA( VLOOKUP( APIF_Import!$O277 &amp; APIF_Import!$E$1,Podesavanja!$AA$3:$AD$28, 4, 0)), "", VLOOKUP( APIF_Import!$C277, INDIRECT( "Lookup_" &amp; APIF_Import!$O277), VLOOKUP( APIF_Import!$O277 &amp; APIF_Import!$E$1,Podesavanja!$AA$3:$AD$28, 4, 0), 0))</f>
        <v>0</v>
      </c>
      <c r="F277" s="230" t="str">
        <f ca="1">IF( ISNA( VLOOKUP( APIF_Import!$O277 &amp; APIF_Import!$F$1,Podesavanja!$AA$3:$AD$28, 4, 0)), "", VLOOKUP( APIF_Import!$C277, INDIRECT( "Lookup_" &amp; APIF_Import!$O277), VLOOKUP( APIF_Import!$O277 &amp; APIF_Import!$F$1,Podesavanja!$AA$3:$AD$28, 4, 0), 0))</f>
        <v/>
      </c>
      <c r="G277" s="230" t="str">
        <f ca="1">IF( ISNA( VLOOKUP( APIF_Import!$O277 &amp; APIF_Import!$G$1,Podesavanja!$AA$3:$AD$28, 4, 0)), "", VLOOKUP( APIF_Import!$C277, INDIRECT( "Lookup_" &amp; APIF_Import!$O277), VLOOKUP( APIF_Import!$O277 &amp; APIF_Import!$G$1,Podesavanja!$AA$3:$AD$28, 4, 0), 0))</f>
        <v/>
      </c>
      <c r="H277" s="230" t="str">
        <f ca="1">IF( ISNA( VLOOKUP( APIF_Import!$O277 &amp; APIF_Import!$H$1,Podesavanja!$AA$3:$AD$28, 4, 0)), "", VLOOKUP( APIF_Import!$C277, INDIRECT( "Lookup_" &amp; APIF_Import!$O277), VLOOKUP( APIF_Import!$O277 &amp; APIF_Import!$H$1,Podesavanja!$AA$3:$AD$28, 4, 0), 0))</f>
        <v/>
      </c>
      <c r="I277" s="230" t="str">
        <f ca="1">IF( ISNA( VLOOKUP( APIF_Import!$O277 &amp; APIF_Import!$I$1,Podesavanja!$AA$3:$AD$28, 4, 0)), "", VLOOKUP( APIF_Import!$C277, INDIRECT( "Lookup_" &amp; APIF_Import!$M277:$O277), VLOOKUP( APIF_Import!$O277 &amp; APIF_Import!$I$1,Podesavanja!$AA$3:$AD$28, 4, 0), 0))</f>
        <v/>
      </c>
      <c r="J277" s="230" t="str">
        <f ca="1">IF( ISNA( VLOOKUP( APIF_Import!$O277 &amp; APIF_Import!$J$1,Podesavanja!$AA$3:$AD$28, 4, 0)), "", VLOOKUP( APIF_Import!$C277, INDIRECT( "Lookup_" &amp; APIF_Import!$M277:$O277), VLOOKUP( APIF_Import!$O277 &amp; APIF_Import!$J$1,Podesavanja!$AA$3:$AD$28, 4, 0), 0))</f>
        <v/>
      </c>
      <c r="K277" s="230" t="str">
        <f ca="1">IF( ISNA( VLOOKUP( APIF_Import!$O277 &amp; APIF_Import!$K$1,Podesavanja!$AA$3:$AD$28, 4, 0)), "", VLOOKUP( APIF_Import!$C277, INDIRECT( "Lookup_" &amp; APIF_Import!$M277:$O277), VLOOKUP( APIF_Import!$O277 &amp; APIF_Import!$K$1,Podesavanja!$AA$3:$AD$28, 4, 0), 0))</f>
        <v/>
      </c>
      <c r="L277" s="230" t="str">
        <f ca="1">IF( ISNA( VLOOKUP( APIF_Import!$O277 &amp; APIF_Import!$L$1,Podesavanja!$AA$3:$AD$28, 4, 0)), "", VLOOKUP( APIF_Import!$C277, INDIRECT( "Lookup_" &amp; APIF_Import!$M277:$O277), VLOOKUP( APIF_Import!$O277 &amp; APIF_Import!$L$1,Podesavanja!$AA$3:$AD$28, 4, 0), 0))</f>
        <v/>
      </c>
      <c r="M277" s="230" t="str">
        <f ca="1">IF( ISNA( VLOOKUP( APIF_Import!$O277 &amp; APIF_Import!$M$1,Podesavanja!$AA$3:$AD$28, 4, 0)), "", VLOOKUP( APIF_Import!$C277, INDIRECT( "Lookup_" &amp; APIF_Import!$M277:$O277), VLOOKUP( APIF_Import!$O277 &amp; APIF_Import!$M$1,Podesavanja!$AA$3:$AD$28, 4, 0), 0))</f>
        <v/>
      </c>
      <c r="N277" s="8">
        <v>276</v>
      </c>
      <c r="O277" s="49" t="s">
        <v>2386</v>
      </c>
    </row>
    <row r="278" spans="2:15">
      <c r="B278" s="44">
        <f ca="1">VLOOKUP( APIF_Import!$O278, Podesavanja!$N$3:$Q$9, 4, 0)</f>
        <v>3</v>
      </c>
      <c r="C278" s="229">
        <f ca="1">VLOOKUP( APIF_Import!$N278, Aop!$A$2:$P$456, 4, 0)</f>
        <v>414</v>
      </c>
      <c r="D278" s="230" t="str">
        <f ca="1">IF( ISNA( VLOOKUP( APIF_Import!$O278 &amp; APIF_Import!$D$1,Podesavanja!$AA$3:$AD$28, 4, 0)), "", SUBSTITUTE( VALUE( VLOOKUP( APIF_Import!$C278, INDIRECT( "Lookup_" &amp; APIF_Import!$O278), VLOOKUP( APIF_Import!$O278 &amp; APIF_Import!$D$1,Podesavanja!$AA$3:$AD$28, 4, 0), 0)), ".", ","))</f>
        <v>0</v>
      </c>
      <c r="E278" s="230">
        <f ca="1">IF( ISNA( VLOOKUP( APIF_Import!$O278 &amp; APIF_Import!$E$1,Podesavanja!$AA$3:$AD$28, 4, 0)), "", VLOOKUP( APIF_Import!$C278, INDIRECT( "Lookup_" &amp; APIF_Import!$O278), VLOOKUP( APIF_Import!$O278 &amp; APIF_Import!$E$1,Podesavanja!$AA$3:$AD$28, 4, 0), 0))</f>
        <v>0</v>
      </c>
      <c r="F278" s="230" t="str">
        <f ca="1">IF( ISNA( VLOOKUP( APIF_Import!$O278 &amp; APIF_Import!$F$1,Podesavanja!$AA$3:$AD$28, 4, 0)), "", VLOOKUP( APIF_Import!$C278, INDIRECT( "Lookup_" &amp; APIF_Import!$O278), VLOOKUP( APIF_Import!$O278 &amp; APIF_Import!$F$1,Podesavanja!$AA$3:$AD$28, 4, 0), 0))</f>
        <v/>
      </c>
      <c r="G278" s="230" t="str">
        <f ca="1">IF( ISNA( VLOOKUP( APIF_Import!$O278 &amp; APIF_Import!$G$1,Podesavanja!$AA$3:$AD$28, 4, 0)), "", VLOOKUP( APIF_Import!$C278, INDIRECT( "Lookup_" &amp; APIF_Import!$O278), VLOOKUP( APIF_Import!$O278 &amp; APIF_Import!$G$1,Podesavanja!$AA$3:$AD$28, 4, 0), 0))</f>
        <v/>
      </c>
      <c r="H278" s="230" t="str">
        <f ca="1">IF( ISNA( VLOOKUP( APIF_Import!$O278 &amp; APIF_Import!$H$1,Podesavanja!$AA$3:$AD$28, 4, 0)), "", VLOOKUP( APIF_Import!$C278, INDIRECT( "Lookup_" &amp; APIF_Import!$O278), VLOOKUP( APIF_Import!$O278 &amp; APIF_Import!$H$1,Podesavanja!$AA$3:$AD$28, 4, 0), 0))</f>
        <v/>
      </c>
      <c r="I278" s="230" t="str">
        <f ca="1">IF( ISNA( VLOOKUP( APIF_Import!$O278 &amp; APIF_Import!$I$1,Podesavanja!$AA$3:$AD$28, 4, 0)), "", VLOOKUP( APIF_Import!$C278, INDIRECT( "Lookup_" &amp; APIF_Import!$M278:$O278), VLOOKUP( APIF_Import!$O278 &amp; APIF_Import!$I$1,Podesavanja!$AA$3:$AD$28, 4, 0), 0))</f>
        <v/>
      </c>
      <c r="J278" s="230" t="str">
        <f ca="1">IF( ISNA( VLOOKUP( APIF_Import!$O278 &amp; APIF_Import!$J$1,Podesavanja!$AA$3:$AD$28, 4, 0)), "", VLOOKUP( APIF_Import!$C278, INDIRECT( "Lookup_" &amp; APIF_Import!$M278:$O278), VLOOKUP( APIF_Import!$O278 &amp; APIF_Import!$J$1,Podesavanja!$AA$3:$AD$28, 4, 0), 0))</f>
        <v/>
      </c>
      <c r="K278" s="230" t="str">
        <f ca="1">IF( ISNA( VLOOKUP( APIF_Import!$O278 &amp; APIF_Import!$K$1,Podesavanja!$AA$3:$AD$28, 4, 0)), "", VLOOKUP( APIF_Import!$C278, INDIRECT( "Lookup_" &amp; APIF_Import!$M278:$O278), VLOOKUP( APIF_Import!$O278 &amp; APIF_Import!$K$1,Podesavanja!$AA$3:$AD$28, 4, 0), 0))</f>
        <v/>
      </c>
      <c r="L278" s="230" t="str">
        <f ca="1">IF( ISNA( VLOOKUP( APIF_Import!$O278 &amp; APIF_Import!$L$1,Podesavanja!$AA$3:$AD$28, 4, 0)), "", VLOOKUP( APIF_Import!$C278, INDIRECT( "Lookup_" &amp; APIF_Import!$M278:$O278), VLOOKUP( APIF_Import!$O278 &amp; APIF_Import!$L$1,Podesavanja!$AA$3:$AD$28, 4, 0), 0))</f>
        <v/>
      </c>
      <c r="M278" s="230" t="str">
        <f ca="1">IF( ISNA( VLOOKUP( APIF_Import!$O278 &amp; APIF_Import!$M$1,Podesavanja!$AA$3:$AD$28, 4, 0)), "", VLOOKUP( APIF_Import!$C278, INDIRECT( "Lookup_" &amp; APIF_Import!$M278:$O278), VLOOKUP( APIF_Import!$O278 &amp; APIF_Import!$M$1,Podesavanja!$AA$3:$AD$28, 4, 0), 0))</f>
        <v/>
      </c>
      <c r="N278" s="8">
        <v>277</v>
      </c>
      <c r="O278" s="49" t="s">
        <v>2386</v>
      </c>
    </row>
    <row r="279" spans="2:15">
      <c r="B279" s="44">
        <f ca="1">VLOOKUP( APIF_Import!$O279, Podesavanja!$N$3:$Q$9, 4, 0)</f>
        <v>3</v>
      </c>
      <c r="C279" s="229">
        <f ca="1">VLOOKUP( APIF_Import!$N279, Aop!$A$2:$P$456, 4, 0)</f>
        <v>415</v>
      </c>
      <c r="D279" s="230" t="str">
        <f ca="1">IF( ISNA( VLOOKUP( APIF_Import!$O279 &amp; APIF_Import!$D$1,Podesavanja!$AA$3:$AD$28, 4, 0)), "", SUBSTITUTE( VALUE( VLOOKUP( APIF_Import!$C279, INDIRECT( "Lookup_" &amp; APIF_Import!$O279), VLOOKUP( APIF_Import!$O279 &amp; APIF_Import!$D$1,Podesavanja!$AA$3:$AD$28, 4, 0), 0)), ".", ","))</f>
        <v>0</v>
      </c>
      <c r="E279" s="230">
        <f ca="1">IF( ISNA( VLOOKUP( APIF_Import!$O279 &amp; APIF_Import!$E$1,Podesavanja!$AA$3:$AD$28, 4, 0)), "", VLOOKUP( APIF_Import!$C279, INDIRECT( "Lookup_" &amp; APIF_Import!$O279), VLOOKUP( APIF_Import!$O279 &amp; APIF_Import!$E$1,Podesavanja!$AA$3:$AD$28, 4, 0), 0))</f>
        <v>0</v>
      </c>
      <c r="F279" s="230" t="str">
        <f ca="1">IF( ISNA( VLOOKUP( APIF_Import!$O279 &amp; APIF_Import!$F$1,Podesavanja!$AA$3:$AD$28, 4, 0)), "", VLOOKUP( APIF_Import!$C279, INDIRECT( "Lookup_" &amp; APIF_Import!$O279), VLOOKUP( APIF_Import!$O279 &amp; APIF_Import!$F$1,Podesavanja!$AA$3:$AD$28, 4, 0), 0))</f>
        <v/>
      </c>
      <c r="G279" s="230" t="str">
        <f ca="1">IF( ISNA( VLOOKUP( APIF_Import!$O279 &amp; APIF_Import!$G$1,Podesavanja!$AA$3:$AD$28, 4, 0)), "", VLOOKUP( APIF_Import!$C279, INDIRECT( "Lookup_" &amp; APIF_Import!$O279), VLOOKUP( APIF_Import!$O279 &amp; APIF_Import!$G$1,Podesavanja!$AA$3:$AD$28, 4, 0), 0))</f>
        <v/>
      </c>
      <c r="H279" s="230" t="str">
        <f ca="1">IF( ISNA( VLOOKUP( APIF_Import!$O279 &amp; APIF_Import!$H$1,Podesavanja!$AA$3:$AD$28, 4, 0)), "", VLOOKUP( APIF_Import!$C279, INDIRECT( "Lookup_" &amp; APIF_Import!$O279), VLOOKUP( APIF_Import!$O279 &amp; APIF_Import!$H$1,Podesavanja!$AA$3:$AD$28, 4, 0), 0))</f>
        <v/>
      </c>
      <c r="I279" s="230" t="str">
        <f ca="1">IF( ISNA( VLOOKUP( APIF_Import!$O279 &amp; APIF_Import!$I$1,Podesavanja!$AA$3:$AD$28, 4, 0)), "", VLOOKUP( APIF_Import!$C279, INDIRECT( "Lookup_" &amp; APIF_Import!$M279:$O279), VLOOKUP( APIF_Import!$O279 &amp; APIF_Import!$I$1,Podesavanja!$AA$3:$AD$28, 4, 0), 0))</f>
        <v/>
      </c>
      <c r="J279" s="230" t="str">
        <f ca="1">IF( ISNA( VLOOKUP( APIF_Import!$O279 &amp; APIF_Import!$J$1,Podesavanja!$AA$3:$AD$28, 4, 0)), "", VLOOKUP( APIF_Import!$C279, INDIRECT( "Lookup_" &amp; APIF_Import!$M279:$O279), VLOOKUP( APIF_Import!$O279 &amp; APIF_Import!$J$1,Podesavanja!$AA$3:$AD$28, 4, 0), 0))</f>
        <v/>
      </c>
      <c r="K279" s="230" t="str">
        <f ca="1">IF( ISNA( VLOOKUP( APIF_Import!$O279 &amp; APIF_Import!$K$1,Podesavanja!$AA$3:$AD$28, 4, 0)), "", VLOOKUP( APIF_Import!$C279, INDIRECT( "Lookup_" &amp; APIF_Import!$M279:$O279), VLOOKUP( APIF_Import!$O279 &amp; APIF_Import!$K$1,Podesavanja!$AA$3:$AD$28, 4, 0), 0))</f>
        <v/>
      </c>
      <c r="L279" s="230" t="str">
        <f ca="1">IF( ISNA( VLOOKUP( APIF_Import!$O279 &amp; APIF_Import!$L$1,Podesavanja!$AA$3:$AD$28, 4, 0)), "", VLOOKUP( APIF_Import!$C279, INDIRECT( "Lookup_" &amp; APIF_Import!$M279:$O279), VLOOKUP( APIF_Import!$O279 &amp; APIF_Import!$L$1,Podesavanja!$AA$3:$AD$28, 4, 0), 0))</f>
        <v/>
      </c>
      <c r="M279" s="230" t="str">
        <f ca="1">IF( ISNA( VLOOKUP( APIF_Import!$O279 &amp; APIF_Import!$M$1,Podesavanja!$AA$3:$AD$28, 4, 0)), "", VLOOKUP( APIF_Import!$C279, INDIRECT( "Lookup_" &amp; APIF_Import!$M279:$O279), VLOOKUP( APIF_Import!$O279 &amp; APIF_Import!$M$1,Podesavanja!$AA$3:$AD$28, 4, 0), 0))</f>
        <v/>
      </c>
      <c r="N279" s="8">
        <v>278</v>
      </c>
      <c r="O279" s="49" t="s">
        <v>2386</v>
      </c>
    </row>
    <row r="280" spans="2:15">
      <c r="B280" s="44">
        <f ca="1">VLOOKUP( APIF_Import!$O280, Podesavanja!$N$3:$Q$9, 4, 0)</f>
        <v>3</v>
      </c>
      <c r="C280" s="229">
        <f ca="1">VLOOKUP( APIF_Import!$N280, Aop!$A$2:$P$456, 4, 0)</f>
        <v>416</v>
      </c>
      <c r="D280" s="230" t="str">
        <f ca="1">IF( ISNA( VLOOKUP( APIF_Import!$O280 &amp; APIF_Import!$D$1,Podesavanja!$AA$3:$AD$28, 4, 0)), "", SUBSTITUTE( VALUE( VLOOKUP( APIF_Import!$C280, INDIRECT( "Lookup_" &amp; APIF_Import!$O280), VLOOKUP( APIF_Import!$O280 &amp; APIF_Import!$D$1,Podesavanja!$AA$3:$AD$28, 4, 0), 0)), ".", ","))</f>
        <v>16300914</v>
      </c>
      <c r="E280" s="230">
        <f ca="1">IF( ISNA( VLOOKUP( APIF_Import!$O280 &amp; APIF_Import!$E$1,Podesavanja!$AA$3:$AD$28, 4, 0)), "", VLOOKUP( APIF_Import!$C280, INDIRECT( "Lookup_" &amp; APIF_Import!$O280), VLOOKUP( APIF_Import!$O280 &amp; APIF_Import!$E$1,Podesavanja!$AA$3:$AD$28, 4, 0), 0))</f>
        <v>33703</v>
      </c>
      <c r="F280" s="230" t="str">
        <f ca="1">IF( ISNA( VLOOKUP( APIF_Import!$O280 &amp; APIF_Import!$F$1,Podesavanja!$AA$3:$AD$28, 4, 0)), "", VLOOKUP( APIF_Import!$C280, INDIRECT( "Lookup_" &amp; APIF_Import!$O280), VLOOKUP( APIF_Import!$O280 &amp; APIF_Import!$F$1,Podesavanja!$AA$3:$AD$28, 4, 0), 0))</f>
        <v/>
      </c>
      <c r="G280" s="230" t="str">
        <f ca="1">IF( ISNA( VLOOKUP( APIF_Import!$O280 &amp; APIF_Import!$G$1,Podesavanja!$AA$3:$AD$28, 4, 0)), "", VLOOKUP( APIF_Import!$C280, INDIRECT( "Lookup_" &amp; APIF_Import!$O280), VLOOKUP( APIF_Import!$O280 &amp; APIF_Import!$G$1,Podesavanja!$AA$3:$AD$28, 4, 0), 0))</f>
        <v/>
      </c>
      <c r="H280" s="230" t="str">
        <f ca="1">IF( ISNA( VLOOKUP( APIF_Import!$O280 &amp; APIF_Import!$H$1,Podesavanja!$AA$3:$AD$28, 4, 0)), "", VLOOKUP( APIF_Import!$C280, INDIRECT( "Lookup_" &amp; APIF_Import!$O280), VLOOKUP( APIF_Import!$O280 &amp; APIF_Import!$H$1,Podesavanja!$AA$3:$AD$28, 4, 0), 0))</f>
        <v/>
      </c>
      <c r="I280" s="230" t="str">
        <f ca="1">IF( ISNA( VLOOKUP( APIF_Import!$O280 &amp; APIF_Import!$I$1,Podesavanja!$AA$3:$AD$28, 4, 0)), "", VLOOKUP( APIF_Import!$C280, INDIRECT( "Lookup_" &amp; APIF_Import!$M280:$O280), VLOOKUP( APIF_Import!$O280 &amp; APIF_Import!$I$1,Podesavanja!$AA$3:$AD$28, 4, 0), 0))</f>
        <v/>
      </c>
      <c r="J280" s="230" t="str">
        <f ca="1">IF( ISNA( VLOOKUP( APIF_Import!$O280 &amp; APIF_Import!$J$1,Podesavanja!$AA$3:$AD$28, 4, 0)), "", VLOOKUP( APIF_Import!$C280, INDIRECT( "Lookup_" &amp; APIF_Import!$M280:$O280), VLOOKUP( APIF_Import!$O280 &amp; APIF_Import!$J$1,Podesavanja!$AA$3:$AD$28, 4, 0), 0))</f>
        <v/>
      </c>
      <c r="K280" s="230" t="str">
        <f ca="1">IF( ISNA( VLOOKUP( APIF_Import!$O280 &amp; APIF_Import!$K$1,Podesavanja!$AA$3:$AD$28, 4, 0)), "", VLOOKUP( APIF_Import!$C280, INDIRECT( "Lookup_" &amp; APIF_Import!$M280:$O280), VLOOKUP( APIF_Import!$O280 &amp; APIF_Import!$K$1,Podesavanja!$AA$3:$AD$28, 4, 0), 0))</f>
        <v/>
      </c>
      <c r="L280" s="230" t="str">
        <f ca="1">IF( ISNA( VLOOKUP( APIF_Import!$O280 &amp; APIF_Import!$L$1,Podesavanja!$AA$3:$AD$28, 4, 0)), "", VLOOKUP( APIF_Import!$C280, INDIRECT( "Lookup_" &amp; APIF_Import!$M280:$O280), VLOOKUP( APIF_Import!$O280 &amp; APIF_Import!$L$1,Podesavanja!$AA$3:$AD$28, 4, 0), 0))</f>
        <v/>
      </c>
      <c r="M280" s="230" t="str">
        <f ca="1">IF( ISNA( VLOOKUP( APIF_Import!$O280 &amp; APIF_Import!$M$1,Podesavanja!$AA$3:$AD$28, 4, 0)), "", VLOOKUP( APIF_Import!$C280, INDIRECT( "Lookup_" &amp; APIF_Import!$M280:$O280), VLOOKUP( APIF_Import!$O280 &amp; APIF_Import!$M$1,Podesavanja!$AA$3:$AD$28, 4, 0), 0))</f>
        <v/>
      </c>
      <c r="N280" s="8">
        <v>280</v>
      </c>
      <c r="O280" s="49" t="s">
        <v>2386</v>
      </c>
    </row>
    <row r="281" spans="2:15">
      <c r="B281" s="44">
        <f ca="1">VLOOKUP( APIF_Import!$O281, Podesavanja!$N$3:$Q$9, 4, 0)</f>
        <v>3</v>
      </c>
      <c r="C281" s="229">
        <f ca="1">VLOOKUP( APIF_Import!$N281, Aop!$A$2:$P$456, 4, 0)</f>
        <v>417</v>
      </c>
      <c r="D281" s="230" t="str">
        <f ca="1">IF( ISNA( VLOOKUP( APIF_Import!$O281 &amp; APIF_Import!$D$1,Podesavanja!$AA$3:$AD$28, 4, 0)), "", SUBSTITUTE( VALUE( VLOOKUP( APIF_Import!$C281, INDIRECT( "Lookup_" &amp; APIF_Import!$O281), VLOOKUP( APIF_Import!$O281 &amp; APIF_Import!$D$1,Podesavanja!$AA$3:$AD$28, 4, 0), 0)), ".", ","))</f>
        <v>0</v>
      </c>
      <c r="E281" s="230">
        <f ca="1">IF( ISNA( VLOOKUP( APIF_Import!$O281 &amp; APIF_Import!$E$1,Podesavanja!$AA$3:$AD$28, 4, 0)), "", VLOOKUP( APIF_Import!$C281, INDIRECT( "Lookup_" &amp; APIF_Import!$O281), VLOOKUP( APIF_Import!$O281 &amp; APIF_Import!$E$1,Podesavanja!$AA$3:$AD$28, 4, 0), 0))</f>
        <v>0</v>
      </c>
      <c r="F281" s="230" t="str">
        <f ca="1">IF( ISNA( VLOOKUP( APIF_Import!$O281 &amp; APIF_Import!$F$1,Podesavanja!$AA$3:$AD$28, 4, 0)), "", VLOOKUP( APIF_Import!$C281, INDIRECT( "Lookup_" &amp; APIF_Import!$O281), VLOOKUP( APIF_Import!$O281 &amp; APIF_Import!$F$1,Podesavanja!$AA$3:$AD$28, 4, 0), 0))</f>
        <v/>
      </c>
      <c r="G281" s="230" t="str">
        <f ca="1">IF( ISNA( VLOOKUP( APIF_Import!$O281 &amp; APIF_Import!$G$1,Podesavanja!$AA$3:$AD$28, 4, 0)), "", VLOOKUP( APIF_Import!$C281, INDIRECT( "Lookup_" &amp; APIF_Import!$O281), VLOOKUP( APIF_Import!$O281 &amp; APIF_Import!$G$1,Podesavanja!$AA$3:$AD$28, 4, 0), 0))</f>
        <v/>
      </c>
      <c r="H281" s="230" t="str">
        <f ca="1">IF( ISNA( VLOOKUP( APIF_Import!$O281 &amp; APIF_Import!$H$1,Podesavanja!$AA$3:$AD$28, 4, 0)), "", VLOOKUP( APIF_Import!$C281, INDIRECT( "Lookup_" &amp; APIF_Import!$O281), VLOOKUP( APIF_Import!$O281 &amp; APIF_Import!$H$1,Podesavanja!$AA$3:$AD$28, 4, 0), 0))</f>
        <v/>
      </c>
      <c r="I281" s="230" t="str">
        <f ca="1">IF( ISNA( VLOOKUP( APIF_Import!$O281 &amp; APIF_Import!$I$1,Podesavanja!$AA$3:$AD$28, 4, 0)), "", VLOOKUP( APIF_Import!$C281, INDIRECT( "Lookup_" &amp; APIF_Import!$M281:$O281), VLOOKUP( APIF_Import!$O281 &amp; APIF_Import!$I$1,Podesavanja!$AA$3:$AD$28, 4, 0), 0))</f>
        <v/>
      </c>
      <c r="J281" s="230" t="str">
        <f ca="1">IF( ISNA( VLOOKUP( APIF_Import!$O281 &amp; APIF_Import!$J$1,Podesavanja!$AA$3:$AD$28, 4, 0)), "", VLOOKUP( APIF_Import!$C281, INDIRECT( "Lookup_" &amp; APIF_Import!$M281:$O281), VLOOKUP( APIF_Import!$O281 &amp; APIF_Import!$J$1,Podesavanja!$AA$3:$AD$28, 4, 0), 0))</f>
        <v/>
      </c>
      <c r="K281" s="230" t="str">
        <f ca="1">IF( ISNA( VLOOKUP( APIF_Import!$O281 &amp; APIF_Import!$K$1,Podesavanja!$AA$3:$AD$28, 4, 0)), "", VLOOKUP( APIF_Import!$C281, INDIRECT( "Lookup_" &amp; APIF_Import!$M281:$O281), VLOOKUP( APIF_Import!$O281 &amp; APIF_Import!$K$1,Podesavanja!$AA$3:$AD$28, 4, 0), 0))</f>
        <v/>
      </c>
      <c r="L281" s="230" t="str">
        <f ca="1">IF( ISNA( VLOOKUP( APIF_Import!$O281 &amp; APIF_Import!$L$1,Podesavanja!$AA$3:$AD$28, 4, 0)), "", VLOOKUP( APIF_Import!$C281, INDIRECT( "Lookup_" &amp; APIF_Import!$M281:$O281), VLOOKUP( APIF_Import!$O281 &amp; APIF_Import!$L$1,Podesavanja!$AA$3:$AD$28, 4, 0), 0))</f>
        <v/>
      </c>
      <c r="M281" s="230" t="str">
        <f ca="1">IF( ISNA( VLOOKUP( APIF_Import!$O281 &amp; APIF_Import!$M$1,Podesavanja!$AA$3:$AD$28, 4, 0)), "", VLOOKUP( APIF_Import!$C281, INDIRECT( "Lookup_" &amp; APIF_Import!$M281:$O281), VLOOKUP( APIF_Import!$O281 &amp; APIF_Import!$M$1,Podesavanja!$AA$3:$AD$28, 4, 0), 0))</f>
        <v/>
      </c>
      <c r="N281" s="8">
        <v>282</v>
      </c>
      <c r="O281" s="49" t="s">
        <v>2386</v>
      </c>
    </row>
    <row r="282" spans="2:15">
      <c r="B282" s="497">
        <f ca="1">VLOOKUP( APIF_Import!$O282, Podesavanja!$N$3:$Q$9, 4, 0)</f>
        <v>3</v>
      </c>
      <c r="C282" s="258">
        <f ca="1">VLOOKUP( APIF_Import!$N282, Aop!$A$2:$P$456, 4, 0)</f>
        <v>418</v>
      </c>
      <c r="D282" s="259" t="str">
        <f ca="1">IF( ISNA( VLOOKUP( APIF_Import!$O282 &amp; APIF_Import!$D$1,Podesavanja!$AA$3:$AD$28, 4, 0)), "", SUBSTITUTE( VALUE( VLOOKUP( APIF_Import!$C282, INDIRECT( "Lookup_" &amp; APIF_Import!$O282), VLOOKUP( APIF_Import!$O282 &amp; APIF_Import!$D$1,Podesavanja!$AA$3:$AD$28, 4, 0), 0)), ".", ","))</f>
        <v>0</v>
      </c>
      <c r="E282" s="259">
        <f ca="1">IF( ISNA( VLOOKUP( APIF_Import!$O282 &amp; APIF_Import!$E$1,Podesavanja!$AA$3:$AD$28, 4, 0)), "", VLOOKUP( APIF_Import!$C282, INDIRECT( "Lookup_" &amp; APIF_Import!$O282), VLOOKUP( APIF_Import!$O282 &amp; APIF_Import!$E$1,Podesavanja!$AA$3:$AD$28, 4, 0), 0))</f>
        <v>0</v>
      </c>
      <c r="F282" s="259" t="str">
        <f ca="1">IF( ISNA( VLOOKUP( APIF_Import!$O282 &amp; APIF_Import!$F$1,Podesavanja!$AA$3:$AD$28, 4, 0)), "", VLOOKUP( APIF_Import!$C282, INDIRECT( "Lookup_" &amp; APIF_Import!$O282), VLOOKUP( APIF_Import!$O282 &amp; APIF_Import!$F$1,Podesavanja!$AA$3:$AD$28, 4, 0), 0))</f>
        <v/>
      </c>
      <c r="G282" s="259" t="str">
        <f ca="1">IF( ISNA( VLOOKUP( APIF_Import!$O282 &amp; APIF_Import!$G$1,Podesavanja!$AA$3:$AD$28, 4, 0)), "", VLOOKUP( APIF_Import!$C282, INDIRECT( "Lookup_" &amp; APIF_Import!$O282), VLOOKUP( APIF_Import!$O282 &amp; APIF_Import!$G$1,Podesavanja!$AA$3:$AD$28, 4, 0), 0))</f>
        <v/>
      </c>
      <c r="H282" s="259" t="str">
        <f ca="1">IF( ISNA( VLOOKUP( APIF_Import!$O282 &amp; APIF_Import!$H$1,Podesavanja!$AA$3:$AD$28, 4, 0)), "", VLOOKUP( APIF_Import!$C282, INDIRECT( "Lookup_" &amp; APIF_Import!$O282), VLOOKUP( APIF_Import!$O282 &amp; APIF_Import!$H$1,Podesavanja!$AA$3:$AD$28, 4, 0), 0))</f>
        <v/>
      </c>
      <c r="I282" s="230" t="str">
        <f ca="1">IF( ISNA( VLOOKUP( APIF_Import!$O282 &amp; APIF_Import!$I$1,Podesavanja!$AA$3:$AD$28, 4, 0)), "", VLOOKUP( APIF_Import!$C282, INDIRECT( "Lookup_" &amp; APIF_Import!$M282:$O282), VLOOKUP( APIF_Import!$O282 &amp; APIF_Import!$I$1,Podesavanja!$AA$3:$AD$28, 4, 0), 0))</f>
        <v/>
      </c>
      <c r="J282" s="230" t="str">
        <f ca="1">IF( ISNA( VLOOKUP( APIF_Import!$O282 &amp; APIF_Import!$J$1,Podesavanja!$AA$3:$AD$28, 4, 0)), "", VLOOKUP( APIF_Import!$C282, INDIRECT( "Lookup_" &amp; APIF_Import!$M282:$O282), VLOOKUP( APIF_Import!$O282 &amp; APIF_Import!$J$1,Podesavanja!$AA$3:$AD$28, 4, 0), 0))</f>
        <v/>
      </c>
      <c r="K282" s="230" t="str">
        <f ca="1">IF( ISNA( VLOOKUP( APIF_Import!$O282 &amp; APIF_Import!$K$1,Podesavanja!$AA$3:$AD$28, 4, 0)), "", VLOOKUP( APIF_Import!$C282, INDIRECT( "Lookup_" &amp; APIF_Import!$M282:$O282), VLOOKUP( APIF_Import!$O282 &amp; APIF_Import!$K$1,Podesavanja!$AA$3:$AD$28, 4, 0), 0))</f>
        <v/>
      </c>
      <c r="L282" s="230" t="str">
        <f ca="1">IF( ISNA( VLOOKUP( APIF_Import!$O282 &amp; APIF_Import!$L$1,Podesavanja!$AA$3:$AD$28, 4, 0)), "", VLOOKUP( APIF_Import!$C282, INDIRECT( "Lookup_" &amp; APIF_Import!$M282:$O282), VLOOKUP( APIF_Import!$O282 &amp; APIF_Import!$L$1,Podesavanja!$AA$3:$AD$28, 4, 0), 0))</f>
        <v/>
      </c>
      <c r="M282" s="230" t="str">
        <f ca="1">IF( ISNA( VLOOKUP( APIF_Import!$O282 &amp; APIF_Import!$M$1,Podesavanja!$AA$3:$AD$28, 4, 0)), "", VLOOKUP( APIF_Import!$C282, INDIRECT( "Lookup_" &amp; APIF_Import!$M282:$O282), VLOOKUP( APIF_Import!$O282 &amp; APIF_Import!$M$1,Podesavanja!$AA$3:$AD$28, 4, 0), 0))</f>
        <v/>
      </c>
      <c r="N282" s="257">
        <v>283</v>
      </c>
      <c r="O282" s="260" t="s">
        <v>2386</v>
      </c>
    </row>
    <row r="283" spans="2:15">
      <c r="B283" s="44">
        <f ca="1">VLOOKUP( APIF_Import!$O283, Podesavanja!$N$3:$Q$9, 4, 0)</f>
        <v>5</v>
      </c>
      <c r="C283" s="229">
        <f ca="1">VLOOKUP( APIF_Import!$N283, Aop!$A$2:$P$456, 4, 0)</f>
        <v>501</v>
      </c>
      <c r="D283" s="230" t="str">
        <f ca="1">IF( ISNA( VLOOKUP( APIF_Import!$O283 &amp; APIF_Import!$D$1,Podesavanja!$AA$3:$AD$28, 4, 0)), "", SUBSTITUTE( VALUE( VLOOKUP( APIF_Import!$C283, INDIRECT( "Lookup_" &amp; APIF_Import!$O283), VLOOKUP( APIF_Import!$O283 &amp; APIF_Import!$D$1,Podesavanja!$AA$3:$AD$28, 4, 0), 0)), ".", ","))</f>
        <v>1522166</v>
      </c>
      <c r="E283" s="230">
        <f ca="1">IF( ISNA( VLOOKUP( APIF_Import!$O283 &amp; APIF_Import!$E$1,Podesavanja!$AA$3:$AD$28, 4, 0)), "", VLOOKUP( APIF_Import!$C283, INDIRECT( "Lookup_" &amp; APIF_Import!$O283), VLOOKUP( APIF_Import!$O283 &amp; APIF_Import!$E$1,Podesavanja!$AA$3:$AD$28, 4, 0), 0))</f>
        <v>570838</v>
      </c>
      <c r="F283" s="230" t="str">
        <f ca="1">IF( ISNA( VLOOKUP( APIF_Import!$O283 &amp; APIF_Import!$F$1,Podesavanja!$AA$3:$AD$28, 4, 0)), "", VLOOKUP( APIF_Import!$C283, INDIRECT( "Lookup_" &amp; APIF_Import!$O283), VLOOKUP( APIF_Import!$O283 &amp; APIF_Import!$F$1,Podesavanja!$AA$3:$AD$28, 4, 0), 0))</f>
        <v/>
      </c>
      <c r="G283" s="230" t="str">
        <f ca="1">IF( ISNA( VLOOKUP( APIF_Import!$O283 &amp; APIF_Import!$G$1,Podesavanja!$AA$3:$AD$28, 4, 0)), "", VLOOKUP( APIF_Import!$C283, INDIRECT( "Lookup_" &amp; APIF_Import!$O283), VLOOKUP( APIF_Import!$O283 &amp; APIF_Import!$G$1,Podesavanja!$AA$3:$AD$28, 4, 0), 0))</f>
        <v/>
      </c>
      <c r="H283" s="230" t="str">
        <f ca="1">IF( ISNA( VLOOKUP( APIF_Import!$O283 &amp; APIF_Import!$H$1,Podesavanja!$AA$3:$AD$28, 4, 0)), "", VLOOKUP( APIF_Import!$C283, INDIRECT( "Lookup_" &amp; APIF_Import!$O283), VLOOKUP( APIF_Import!$O283 &amp; APIF_Import!$H$1,Podesavanja!$AA$3:$AD$28, 4, 0), 0))</f>
        <v/>
      </c>
      <c r="I283" s="230" t="str">
        <f ca="1">IF( ISNA( VLOOKUP( APIF_Import!$O283 &amp; APIF_Import!$I$1,Podesavanja!$AA$3:$AD$28, 4, 0)), "", VLOOKUP( APIF_Import!$C283, INDIRECT( "Lookup_" &amp; APIF_Import!$M283:$O283), VLOOKUP( APIF_Import!$O283 &amp; APIF_Import!$I$1,Podesavanja!$AA$3:$AD$28, 4, 0), 0))</f>
        <v/>
      </c>
      <c r="J283" s="230" t="str">
        <f ca="1">IF( ISNA( VLOOKUP( APIF_Import!$O283 &amp; APIF_Import!$J$1,Podesavanja!$AA$3:$AD$28, 4, 0)), "", VLOOKUP( APIF_Import!$C283, INDIRECT( "Lookup_" &amp; APIF_Import!$M283:$O283), VLOOKUP( APIF_Import!$O283 &amp; APIF_Import!$J$1,Podesavanja!$AA$3:$AD$28, 4, 0), 0))</f>
        <v/>
      </c>
      <c r="K283" s="230" t="str">
        <f ca="1">IF( ISNA( VLOOKUP( APIF_Import!$O283 &amp; APIF_Import!$K$1,Podesavanja!$AA$3:$AD$28, 4, 0)), "", VLOOKUP( APIF_Import!$C283, INDIRECT( "Lookup_" &amp; APIF_Import!$M283:$O283), VLOOKUP( APIF_Import!$O283 &amp; APIF_Import!$K$1,Podesavanja!$AA$3:$AD$28, 4, 0), 0))</f>
        <v/>
      </c>
      <c r="L283" s="230" t="str">
        <f ca="1">IF( ISNA( VLOOKUP( APIF_Import!$O283 &amp; APIF_Import!$L$1,Podesavanja!$AA$3:$AD$28, 4, 0)), "", VLOOKUP( APIF_Import!$C283, INDIRECT( "Lookup_" &amp; APIF_Import!$M283:$O283), VLOOKUP( APIF_Import!$O283 &amp; APIF_Import!$L$1,Podesavanja!$AA$3:$AD$28, 4, 0), 0))</f>
        <v/>
      </c>
      <c r="M283" s="230" t="str">
        <f ca="1">IF( ISNA( VLOOKUP( APIF_Import!$O283 &amp; APIF_Import!$M$1,Podesavanja!$AA$3:$AD$28, 4, 0)), "", VLOOKUP( APIF_Import!$C283, INDIRECT( "Lookup_" &amp; APIF_Import!$M283:$O283), VLOOKUP( APIF_Import!$O283 &amp; APIF_Import!$M$1,Podesavanja!$AA$3:$AD$28, 4, 0), 0))</f>
        <v/>
      </c>
      <c r="N283" s="8">
        <v>284</v>
      </c>
      <c r="O283" s="49" t="s">
        <v>1537</v>
      </c>
    </row>
    <row r="284" spans="2:15">
      <c r="B284" s="44">
        <f ca="1">VLOOKUP( APIF_Import!$O284, Podesavanja!$N$3:$Q$9, 4, 0)</f>
        <v>5</v>
      </c>
      <c r="C284" s="229">
        <f ca="1">VLOOKUP( APIF_Import!$N284, Aop!$A$2:$P$456, 4, 0)</f>
        <v>502</v>
      </c>
      <c r="D284" s="230" t="str">
        <f ca="1">IF( ISNA( VLOOKUP( APIF_Import!$O284 &amp; APIF_Import!$D$1,Podesavanja!$AA$3:$AD$28, 4, 0)), "", SUBSTITUTE( VALUE( VLOOKUP( APIF_Import!$C284, INDIRECT( "Lookup_" &amp; APIF_Import!$O284), VLOOKUP( APIF_Import!$O284 &amp; APIF_Import!$D$1,Podesavanja!$AA$3:$AD$28, 4, 0), 0)), ".", ","))</f>
        <v>1472014</v>
      </c>
      <c r="E284" s="230">
        <f ca="1">IF( ISNA( VLOOKUP( APIF_Import!$O284 &amp; APIF_Import!$E$1,Podesavanja!$AA$3:$AD$28, 4, 0)), "", VLOOKUP( APIF_Import!$C284, INDIRECT( "Lookup_" &amp; APIF_Import!$O284), VLOOKUP( APIF_Import!$O284 &amp; APIF_Import!$E$1,Podesavanja!$AA$3:$AD$28, 4, 0), 0))</f>
        <v>523124</v>
      </c>
      <c r="F284" s="230" t="str">
        <f ca="1">IF( ISNA( VLOOKUP( APIF_Import!$O284 &amp; APIF_Import!$F$1,Podesavanja!$AA$3:$AD$28, 4, 0)), "", VLOOKUP( APIF_Import!$C284, INDIRECT( "Lookup_" &amp; APIF_Import!$O284), VLOOKUP( APIF_Import!$O284 &amp; APIF_Import!$F$1,Podesavanja!$AA$3:$AD$28, 4, 0), 0))</f>
        <v/>
      </c>
      <c r="G284" s="230" t="str">
        <f ca="1">IF( ISNA( VLOOKUP( APIF_Import!$O284 &amp; APIF_Import!$G$1,Podesavanja!$AA$3:$AD$28, 4, 0)), "", VLOOKUP( APIF_Import!$C284, INDIRECT( "Lookup_" &amp; APIF_Import!$O284), VLOOKUP( APIF_Import!$O284 &amp; APIF_Import!$G$1,Podesavanja!$AA$3:$AD$28, 4, 0), 0))</f>
        <v/>
      </c>
      <c r="H284" s="230" t="str">
        <f ca="1">IF( ISNA( VLOOKUP( APIF_Import!$O284 &amp; APIF_Import!$H$1,Podesavanja!$AA$3:$AD$28, 4, 0)), "", VLOOKUP( APIF_Import!$C284, INDIRECT( "Lookup_" &amp; APIF_Import!$O284), VLOOKUP( APIF_Import!$O284 &amp; APIF_Import!$H$1,Podesavanja!$AA$3:$AD$28, 4, 0), 0))</f>
        <v/>
      </c>
      <c r="I284" s="230" t="str">
        <f ca="1">IF( ISNA( VLOOKUP( APIF_Import!$O284 &amp; APIF_Import!$I$1,Podesavanja!$AA$3:$AD$28, 4, 0)), "", VLOOKUP( APIF_Import!$C284, INDIRECT( "Lookup_" &amp; APIF_Import!$M284:$O284), VLOOKUP( APIF_Import!$O284 &amp; APIF_Import!$I$1,Podesavanja!$AA$3:$AD$28, 4, 0), 0))</f>
        <v/>
      </c>
      <c r="J284" s="230" t="str">
        <f ca="1">IF( ISNA( VLOOKUP( APIF_Import!$O284 &amp; APIF_Import!$J$1,Podesavanja!$AA$3:$AD$28, 4, 0)), "", VLOOKUP( APIF_Import!$C284, INDIRECT( "Lookup_" &amp; APIF_Import!$M284:$O284), VLOOKUP( APIF_Import!$O284 &amp; APIF_Import!$J$1,Podesavanja!$AA$3:$AD$28, 4, 0), 0))</f>
        <v/>
      </c>
      <c r="K284" s="230" t="str">
        <f ca="1">IF( ISNA( VLOOKUP( APIF_Import!$O284 &amp; APIF_Import!$K$1,Podesavanja!$AA$3:$AD$28, 4, 0)), "", VLOOKUP( APIF_Import!$C284, INDIRECT( "Lookup_" &amp; APIF_Import!$M284:$O284), VLOOKUP( APIF_Import!$O284 &amp; APIF_Import!$K$1,Podesavanja!$AA$3:$AD$28, 4, 0), 0))</f>
        <v/>
      </c>
      <c r="L284" s="230" t="str">
        <f ca="1">IF( ISNA( VLOOKUP( APIF_Import!$O284 &amp; APIF_Import!$L$1,Podesavanja!$AA$3:$AD$28, 4, 0)), "", VLOOKUP( APIF_Import!$C284, INDIRECT( "Lookup_" &amp; APIF_Import!$M284:$O284), VLOOKUP( APIF_Import!$O284 &amp; APIF_Import!$L$1,Podesavanja!$AA$3:$AD$28, 4, 0), 0))</f>
        <v/>
      </c>
      <c r="M284" s="230" t="str">
        <f ca="1">IF( ISNA( VLOOKUP( APIF_Import!$O284 &amp; APIF_Import!$M$1,Podesavanja!$AA$3:$AD$28, 4, 0)), "", VLOOKUP( APIF_Import!$C284, INDIRECT( "Lookup_" &amp; APIF_Import!$M284:$O284), VLOOKUP( APIF_Import!$O284 &amp; APIF_Import!$M$1,Podesavanja!$AA$3:$AD$28, 4, 0), 0))</f>
        <v/>
      </c>
      <c r="N284" s="8">
        <v>285</v>
      </c>
      <c r="O284" s="49" t="s">
        <v>1537</v>
      </c>
    </row>
    <row r="285" spans="2:15">
      <c r="B285" s="44">
        <f ca="1">VLOOKUP( APIF_Import!$O285, Podesavanja!$N$3:$Q$9, 4, 0)</f>
        <v>5</v>
      </c>
      <c r="C285" s="229">
        <f ca="1">VLOOKUP( APIF_Import!$N285, Aop!$A$2:$P$456, 4, 0)</f>
        <v>503</v>
      </c>
      <c r="D285" s="230" t="str">
        <f ca="1">IF( ISNA( VLOOKUP( APIF_Import!$O285 &amp; APIF_Import!$D$1,Podesavanja!$AA$3:$AD$28, 4, 0)), "", SUBSTITUTE( VALUE( VLOOKUP( APIF_Import!$C285, INDIRECT( "Lookup_" &amp; APIF_Import!$O285), VLOOKUP( APIF_Import!$O285 &amp; APIF_Import!$D$1,Podesavanja!$AA$3:$AD$28, 4, 0), 0)), ".", ","))</f>
        <v>0</v>
      </c>
      <c r="E285" s="230">
        <f ca="1">IF( ISNA( VLOOKUP( APIF_Import!$O285 &amp; APIF_Import!$E$1,Podesavanja!$AA$3:$AD$28, 4, 0)), "", VLOOKUP( APIF_Import!$C285, INDIRECT( "Lookup_" &amp; APIF_Import!$O285), VLOOKUP( APIF_Import!$O285 &amp; APIF_Import!$E$1,Podesavanja!$AA$3:$AD$28, 4, 0), 0))</f>
        <v>0</v>
      </c>
      <c r="F285" s="230" t="str">
        <f ca="1">IF( ISNA( VLOOKUP( APIF_Import!$O285 &amp; APIF_Import!$F$1,Podesavanja!$AA$3:$AD$28, 4, 0)), "", VLOOKUP( APIF_Import!$C285, INDIRECT( "Lookup_" &amp; APIF_Import!$O285), VLOOKUP( APIF_Import!$O285 &amp; APIF_Import!$F$1,Podesavanja!$AA$3:$AD$28, 4, 0), 0))</f>
        <v/>
      </c>
      <c r="G285" s="230" t="str">
        <f ca="1">IF( ISNA( VLOOKUP( APIF_Import!$O285 &amp; APIF_Import!$G$1,Podesavanja!$AA$3:$AD$28, 4, 0)), "", VLOOKUP( APIF_Import!$C285, INDIRECT( "Lookup_" &amp; APIF_Import!$O285), VLOOKUP( APIF_Import!$O285 &amp; APIF_Import!$G$1,Podesavanja!$AA$3:$AD$28, 4, 0), 0))</f>
        <v/>
      </c>
      <c r="H285" s="230" t="str">
        <f ca="1">IF( ISNA( VLOOKUP( APIF_Import!$O285 &amp; APIF_Import!$H$1,Podesavanja!$AA$3:$AD$28, 4, 0)), "", VLOOKUP( APIF_Import!$C285, INDIRECT( "Lookup_" &amp; APIF_Import!$O285), VLOOKUP( APIF_Import!$O285 &amp; APIF_Import!$H$1,Podesavanja!$AA$3:$AD$28, 4, 0), 0))</f>
        <v/>
      </c>
      <c r="I285" s="230" t="str">
        <f ca="1">IF( ISNA( VLOOKUP( APIF_Import!$O285 &amp; APIF_Import!$I$1,Podesavanja!$AA$3:$AD$28, 4, 0)), "", VLOOKUP( APIF_Import!$C285, INDIRECT( "Lookup_" &amp; APIF_Import!$M285:$O285), VLOOKUP( APIF_Import!$O285 &amp; APIF_Import!$I$1,Podesavanja!$AA$3:$AD$28, 4, 0), 0))</f>
        <v/>
      </c>
      <c r="J285" s="230" t="str">
        <f ca="1">IF( ISNA( VLOOKUP( APIF_Import!$O285 &amp; APIF_Import!$J$1,Podesavanja!$AA$3:$AD$28, 4, 0)), "", VLOOKUP( APIF_Import!$C285, INDIRECT( "Lookup_" &amp; APIF_Import!$M285:$O285), VLOOKUP( APIF_Import!$O285 &amp; APIF_Import!$J$1,Podesavanja!$AA$3:$AD$28, 4, 0), 0))</f>
        <v/>
      </c>
      <c r="K285" s="230" t="str">
        <f ca="1">IF( ISNA( VLOOKUP( APIF_Import!$O285 &amp; APIF_Import!$K$1,Podesavanja!$AA$3:$AD$28, 4, 0)), "", VLOOKUP( APIF_Import!$C285, INDIRECT( "Lookup_" &amp; APIF_Import!$M285:$O285), VLOOKUP( APIF_Import!$O285 &amp; APIF_Import!$K$1,Podesavanja!$AA$3:$AD$28, 4, 0), 0))</f>
        <v/>
      </c>
      <c r="L285" s="230" t="str">
        <f ca="1">IF( ISNA( VLOOKUP( APIF_Import!$O285 &amp; APIF_Import!$L$1,Podesavanja!$AA$3:$AD$28, 4, 0)), "", VLOOKUP( APIF_Import!$C285, INDIRECT( "Lookup_" &amp; APIF_Import!$M285:$O285), VLOOKUP( APIF_Import!$O285 &amp; APIF_Import!$L$1,Podesavanja!$AA$3:$AD$28, 4, 0), 0))</f>
        <v/>
      </c>
      <c r="M285" s="230" t="str">
        <f ca="1">IF( ISNA( VLOOKUP( APIF_Import!$O285 &amp; APIF_Import!$M$1,Podesavanja!$AA$3:$AD$28, 4, 0)), "", VLOOKUP( APIF_Import!$C285, INDIRECT( "Lookup_" &amp; APIF_Import!$M285:$O285), VLOOKUP( APIF_Import!$O285 &amp; APIF_Import!$M$1,Podesavanja!$AA$3:$AD$28, 4, 0), 0))</f>
        <v/>
      </c>
      <c r="N285" s="8">
        <v>286</v>
      </c>
      <c r="O285" s="49" t="s">
        <v>1537</v>
      </c>
    </row>
    <row r="286" spans="2:15">
      <c r="B286" s="44">
        <f ca="1">VLOOKUP( APIF_Import!$O286, Podesavanja!$N$3:$Q$9, 4, 0)</f>
        <v>5</v>
      </c>
      <c r="C286" s="229">
        <f ca="1">VLOOKUP( APIF_Import!$N286, Aop!$A$2:$P$456, 4, 0)</f>
        <v>504</v>
      </c>
      <c r="D286" s="230" t="str">
        <f ca="1">IF( ISNA( VLOOKUP( APIF_Import!$O286 &amp; APIF_Import!$D$1,Podesavanja!$AA$3:$AD$28, 4, 0)), "", SUBSTITUTE( VALUE( VLOOKUP( APIF_Import!$C286, INDIRECT( "Lookup_" &amp; APIF_Import!$O286), VLOOKUP( APIF_Import!$O286 &amp; APIF_Import!$D$1,Podesavanja!$AA$3:$AD$28, 4, 0), 0)), ".", ","))</f>
        <v>0</v>
      </c>
      <c r="E286" s="230">
        <f ca="1">IF( ISNA( VLOOKUP( APIF_Import!$O286 &amp; APIF_Import!$E$1,Podesavanja!$AA$3:$AD$28, 4, 0)), "", VLOOKUP( APIF_Import!$C286, INDIRECT( "Lookup_" &amp; APIF_Import!$O286), VLOOKUP( APIF_Import!$O286 &amp; APIF_Import!$E$1,Podesavanja!$AA$3:$AD$28, 4, 0), 0))</f>
        <v>0</v>
      </c>
      <c r="F286" s="230" t="str">
        <f ca="1">IF( ISNA( VLOOKUP( APIF_Import!$O286 &amp; APIF_Import!$F$1,Podesavanja!$AA$3:$AD$28, 4, 0)), "", VLOOKUP( APIF_Import!$C286, INDIRECT( "Lookup_" &amp; APIF_Import!$O286), VLOOKUP( APIF_Import!$O286 &amp; APIF_Import!$F$1,Podesavanja!$AA$3:$AD$28, 4, 0), 0))</f>
        <v/>
      </c>
      <c r="G286" s="230" t="str">
        <f ca="1">IF( ISNA( VLOOKUP( APIF_Import!$O286 &amp; APIF_Import!$G$1,Podesavanja!$AA$3:$AD$28, 4, 0)), "", VLOOKUP( APIF_Import!$C286, INDIRECT( "Lookup_" &amp; APIF_Import!$O286), VLOOKUP( APIF_Import!$O286 &amp; APIF_Import!$G$1,Podesavanja!$AA$3:$AD$28, 4, 0), 0))</f>
        <v/>
      </c>
      <c r="H286" s="230" t="str">
        <f ca="1">IF( ISNA( VLOOKUP( APIF_Import!$O286 &amp; APIF_Import!$H$1,Podesavanja!$AA$3:$AD$28, 4, 0)), "", VLOOKUP( APIF_Import!$C286, INDIRECT( "Lookup_" &amp; APIF_Import!$O286), VLOOKUP( APIF_Import!$O286 &amp; APIF_Import!$H$1,Podesavanja!$AA$3:$AD$28, 4, 0), 0))</f>
        <v/>
      </c>
      <c r="I286" s="230" t="str">
        <f ca="1">IF( ISNA( VLOOKUP( APIF_Import!$O286 &amp; APIF_Import!$I$1,Podesavanja!$AA$3:$AD$28, 4, 0)), "", VLOOKUP( APIF_Import!$C286, INDIRECT( "Lookup_" &amp; APIF_Import!$M286:$O286), VLOOKUP( APIF_Import!$O286 &amp; APIF_Import!$I$1,Podesavanja!$AA$3:$AD$28, 4, 0), 0))</f>
        <v/>
      </c>
      <c r="J286" s="230" t="str">
        <f ca="1">IF( ISNA( VLOOKUP( APIF_Import!$O286 &amp; APIF_Import!$J$1,Podesavanja!$AA$3:$AD$28, 4, 0)), "", VLOOKUP( APIF_Import!$C286, INDIRECT( "Lookup_" &amp; APIF_Import!$M286:$O286), VLOOKUP( APIF_Import!$O286 &amp; APIF_Import!$J$1,Podesavanja!$AA$3:$AD$28, 4, 0), 0))</f>
        <v/>
      </c>
      <c r="K286" s="230" t="str">
        <f ca="1">IF( ISNA( VLOOKUP( APIF_Import!$O286 &amp; APIF_Import!$K$1,Podesavanja!$AA$3:$AD$28, 4, 0)), "", VLOOKUP( APIF_Import!$C286, INDIRECT( "Lookup_" &amp; APIF_Import!$M286:$O286), VLOOKUP( APIF_Import!$O286 &amp; APIF_Import!$K$1,Podesavanja!$AA$3:$AD$28, 4, 0), 0))</f>
        <v/>
      </c>
      <c r="L286" s="230" t="str">
        <f ca="1">IF( ISNA( VLOOKUP( APIF_Import!$O286 &amp; APIF_Import!$L$1,Podesavanja!$AA$3:$AD$28, 4, 0)), "", VLOOKUP( APIF_Import!$C286, INDIRECT( "Lookup_" &amp; APIF_Import!$M286:$O286), VLOOKUP( APIF_Import!$O286 &amp; APIF_Import!$L$1,Podesavanja!$AA$3:$AD$28, 4, 0), 0))</f>
        <v/>
      </c>
      <c r="M286" s="230" t="str">
        <f ca="1">IF( ISNA( VLOOKUP( APIF_Import!$O286 &amp; APIF_Import!$M$1,Podesavanja!$AA$3:$AD$28, 4, 0)), "", VLOOKUP( APIF_Import!$C286, INDIRECT( "Lookup_" &amp; APIF_Import!$M286:$O286), VLOOKUP( APIF_Import!$O286 &amp; APIF_Import!$M$1,Podesavanja!$AA$3:$AD$28, 4, 0), 0))</f>
        <v/>
      </c>
      <c r="N286" s="8">
        <v>287</v>
      </c>
      <c r="O286" s="49" t="s">
        <v>1537</v>
      </c>
    </row>
    <row r="287" spans="2:15">
      <c r="B287" s="44">
        <f ca="1">VLOOKUP( APIF_Import!$O287, Podesavanja!$N$3:$Q$9, 4, 0)</f>
        <v>5</v>
      </c>
      <c r="C287" s="229">
        <f ca="1">VLOOKUP( APIF_Import!$N287, Aop!$A$2:$P$456, 4, 0)</f>
        <v>505</v>
      </c>
      <c r="D287" s="230" t="str">
        <f ca="1">IF( ISNA( VLOOKUP( APIF_Import!$O287 &amp; APIF_Import!$D$1,Podesavanja!$AA$3:$AD$28, 4, 0)), "", SUBSTITUTE( VALUE( VLOOKUP( APIF_Import!$C287, INDIRECT( "Lookup_" &amp; APIF_Import!$O287), VLOOKUP( APIF_Import!$O287 &amp; APIF_Import!$D$1,Podesavanja!$AA$3:$AD$28, 4, 0), 0)), ".", ","))</f>
        <v>50152</v>
      </c>
      <c r="E287" s="230">
        <f ca="1">IF( ISNA( VLOOKUP( APIF_Import!$O287 &amp; APIF_Import!$E$1,Podesavanja!$AA$3:$AD$28, 4, 0)), "", VLOOKUP( APIF_Import!$C287, INDIRECT( "Lookup_" &amp; APIF_Import!$O287), VLOOKUP( APIF_Import!$O287 &amp; APIF_Import!$E$1,Podesavanja!$AA$3:$AD$28, 4, 0), 0))</f>
        <v>47714</v>
      </c>
      <c r="F287" s="230" t="str">
        <f ca="1">IF( ISNA( VLOOKUP( APIF_Import!$O287 &amp; APIF_Import!$F$1,Podesavanja!$AA$3:$AD$28, 4, 0)), "", VLOOKUP( APIF_Import!$C287, INDIRECT( "Lookup_" &amp; APIF_Import!$O287), VLOOKUP( APIF_Import!$O287 &amp; APIF_Import!$F$1,Podesavanja!$AA$3:$AD$28, 4, 0), 0))</f>
        <v/>
      </c>
      <c r="G287" s="230" t="str">
        <f ca="1">IF( ISNA( VLOOKUP( APIF_Import!$O287 &amp; APIF_Import!$G$1,Podesavanja!$AA$3:$AD$28, 4, 0)), "", VLOOKUP( APIF_Import!$C287, INDIRECT( "Lookup_" &amp; APIF_Import!$O287), VLOOKUP( APIF_Import!$O287 &amp; APIF_Import!$G$1,Podesavanja!$AA$3:$AD$28, 4, 0), 0))</f>
        <v/>
      </c>
      <c r="H287" s="230" t="str">
        <f ca="1">IF( ISNA( VLOOKUP( APIF_Import!$O287 &amp; APIF_Import!$H$1,Podesavanja!$AA$3:$AD$28, 4, 0)), "", VLOOKUP( APIF_Import!$C287, INDIRECT( "Lookup_" &amp; APIF_Import!$O287), VLOOKUP( APIF_Import!$O287 &amp; APIF_Import!$H$1,Podesavanja!$AA$3:$AD$28, 4, 0), 0))</f>
        <v/>
      </c>
      <c r="I287" s="230" t="str">
        <f ca="1">IF( ISNA( VLOOKUP( APIF_Import!$O287 &amp; APIF_Import!$I$1,Podesavanja!$AA$3:$AD$28, 4, 0)), "", VLOOKUP( APIF_Import!$C287, INDIRECT( "Lookup_" &amp; APIF_Import!$M287:$O287), VLOOKUP( APIF_Import!$O287 &amp; APIF_Import!$I$1,Podesavanja!$AA$3:$AD$28, 4, 0), 0))</f>
        <v/>
      </c>
      <c r="J287" s="230" t="str">
        <f ca="1">IF( ISNA( VLOOKUP( APIF_Import!$O287 &amp; APIF_Import!$J$1,Podesavanja!$AA$3:$AD$28, 4, 0)), "", VLOOKUP( APIF_Import!$C287, INDIRECT( "Lookup_" &amp; APIF_Import!$M287:$O287), VLOOKUP( APIF_Import!$O287 &amp; APIF_Import!$J$1,Podesavanja!$AA$3:$AD$28, 4, 0), 0))</f>
        <v/>
      </c>
      <c r="K287" s="230" t="str">
        <f ca="1">IF( ISNA( VLOOKUP( APIF_Import!$O287 &amp; APIF_Import!$K$1,Podesavanja!$AA$3:$AD$28, 4, 0)), "", VLOOKUP( APIF_Import!$C287, INDIRECT( "Lookup_" &amp; APIF_Import!$M287:$O287), VLOOKUP( APIF_Import!$O287 &amp; APIF_Import!$K$1,Podesavanja!$AA$3:$AD$28, 4, 0), 0))</f>
        <v/>
      </c>
      <c r="L287" s="230" t="str">
        <f ca="1">IF( ISNA( VLOOKUP( APIF_Import!$O287 &amp; APIF_Import!$L$1,Podesavanja!$AA$3:$AD$28, 4, 0)), "", VLOOKUP( APIF_Import!$C287, INDIRECT( "Lookup_" &amp; APIF_Import!$M287:$O287), VLOOKUP( APIF_Import!$O287 &amp; APIF_Import!$L$1,Podesavanja!$AA$3:$AD$28, 4, 0), 0))</f>
        <v/>
      </c>
      <c r="M287" s="230" t="str">
        <f ca="1">IF( ISNA( VLOOKUP( APIF_Import!$O287 &amp; APIF_Import!$M$1,Podesavanja!$AA$3:$AD$28, 4, 0)), "", VLOOKUP( APIF_Import!$C287, INDIRECT( "Lookup_" &amp; APIF_Import!$M287:$O287), VLOOKUP( APIF_Import!$O287 &amp; APIF_Import!$M$1,Podesavanja!$AA$3:$AD$28, 4, 0), 0))</f>
        <v/>
      </c>
      <c r="N287" s="8">
        <v>288</v>
      </c>
      <c r="O287" s="49" t="s">
        <v>1537</v>
      </c>
    </row>
    <row r="288" spans="2:15">
      <c r="B288" s="44">
        <f ca="1">VLOOKUP( APIF_Import!$O288, Podesavanja!$N$3:$Q$9, 4, 0)</f>
        <v>5</v>
      </c>
      <c r="C288" s="229">
        <f ca="1">VLOOKUP( APIF_Import!$N288, Aop!$A$2:$P$456, 4, 0)</f>
        <v>506</v>
      </c>
      <c r="D288" s="230" t="str">
        <f ca="1">IF( ISNA( VLOOKUP( APIF_Import!$O288 &amp; APIF_Import!$D$1,Podesavanja!$AA$3:$AD$28, 4, 0)), "", SUBSTITUTE( VALUE( VLOOKUP( APIF_Import!$C288, INDIRECT( "Lookup_" &amp; APIF_Import!$O288), VLOOKUP( APIF_Import!$O288 &amp; APIF_Import!$D$1,Podesavanja!$AA$3:$AD$28, 4, 0), 0)), ".", ","))</f>
        <v>2036293</v>
      </c>
      <c r="E288" s="230">
        <f ca="1">IF( ISNA( VLOOKUP( APIF_Import!$O288 &amp; APIF_Import!$E$1,Podesavanja!$AA$3:$AD$28, 4, 0)), "", VLOOKUP( APIF_Import!$C288, INDIRECT( "Lookup_" &amp; APIF_Import!$O288), VLOOKUP( APIF_Import!$O288 &amp; APIF_Import!$E$1,Podesavanja!$AA$3:$AD$28, 4, 0), 0))</f>
        <v>828378</v>
      </c>
      <c r="F288" s="230" t="str">
        <f ca="1">IF( ISNA( VLOOKUP( APIF_Import!$O288 &amp; APIF_Import!$F$1,Podesavanja!$AA$3:$AD$28, 4, 0)), "", VLOOKUP( APIF_Import!$C288, INDIRECT( "Lookup_" &amp; APIF_Import!$O288), VLOOKUP( APIF_Import!$O288 &amp; APIF_Import!$F$1,Podesavanja!$AA$3:$AD$28, 4, 0), 0))</f>
        <v/>
      </c>
      <c r="G288" s="230" t="str">
        <f ca="1">IF( ISNA( VLOOKUP( APIF_Import!$O288 &amp; APIF_Import!$G$1,Podesavanja!$AA$3:$AD$28, 4, 0)), "", VLOOKUP( APIF_Import!$C288, INDIRECT( "Lookup_" &amp; APIF_Import!$O288), VLOOKUP( APIF_Import!$O288 &amp; APIF_Import!$G$1,Podesavanja!$AA$3:$AD$28, 4, 0), 0))</f>
        <v/>
      </c>
      <c r="H288" s="230" t="str">
        <f ca="1">IF( ISNA( VLOOKUP( APIF_Import!$O288 &amp; APIF_Import!$H$1,Podesavanja!$AA$3:$AD$28, 4, 0)), "", VLOOKUP( APIF_Import!$C288, INDIRECT( "Lookup_" &amp; APIF_Import!$O288), VLOOKUP( APIF_Import!$O288 &amp; APIF_Import!$H$1,Podesavanja!$AA$3:$AD$28, 4, 0), 0))</f>
        <v/>
      </c>
      <c r="I288" s="230" t="str">
        <f ca="1">IF( ISNA( VLOOKUP( APIF_Import!$O288 &amp; APIF_Import!$I$1,Podesavanja!$AA$3:$AD$28, 4, 0)), "", VLOOKUP( APIF_Import!$C288, INDIRECT( "Lookup_" &amp; APIF_Import!$M288:$O288), VLOOKUP( APIF_Import!$O288 &amp; APIF_Import!$I$1,Podesavanja!$AA$3:$AD$28, 4, 0), 0))</f>
        <v/>
      </c>
      <c r="J288" s="230" t="str">
        <f ca="1">IF( ISNA( VLOOKUP( APIF_Import!$O288 &amp; APIF_Import!$J$1,Podesavanja!$AA$3:$AD$28, 4, 0)), "", VLOOKUP( APIF_Import!$C288, INDIRECT( "Lookup_" &amp; APIF_Import!$M288:$O288), VLOOKUP( APIF_Import!$O288 &amp; APIF_Import!$J$1,Podesavanja!$AA$3:$AD$28, 4, 0), 0))</f>
        <v/>
      </c>
      <c r="K288" s="230" t="str">
        <f ca="1">IF( ISNA( VLOOKUP( APIF_Import!$O288 &amp; APIF_Import!$K$1,Podesavanja!$AA$3:$AD$28, 4, 0)), "", VLOOKUP( APIF_Import!$C288, INDIRECT( "Lookup_" &amp; APIF_Import!$M288:$O288), VLOOKUP( APIF_Import!$O288 &amp; APIF_Import!$K$1,Podesavanja!$AA$3:$AD$28, 4, 0), 0))</f>
        <v/>
      </c>
      <c r="L288" s="230" t="str">
        <f ca="1">IF( ISNA( VLOOKUP( APIF_Import!$O288 &amp; APIF_Import!$L$1,Podesavanja!$AA$3:$AD$28, 4, 0)), "", VLOOKUP( APIF_Import!$C288, INDIRECT( "Lookup_" &amp; APIF_Import!$M288:$O288), VLOOKUP( APIF_Import!$O288 &amp; APIF_Import!$L$1,Podesavanja!$AA$3:$AD$28, 4, 0), 0))</f>
        <v/>
      </c>
      <c r="M288" s="230" t="str">
        <f ca="1">IF( ISNA( VLOOKUP( APIF_Import!$O288 &amp; APIF_Import!$M$1,Podesavanja!$AA$3:$AD$28, 4, 0)), "", VLOOKUP( APIF_Import!$C288, INDIRECT( "Lookup_" &amp; APIF_Import!$M288:$O288), VLOOKUP( APIF_Import!$O288 &amp; APIF_Import!$M$1,Podesavanja!$AA$3:$AD$28, 4, 0), 0))</f>
        <v/>
      </c>
      <c r="N288" s="8">
        <v>289</v>
      </c>
      <c r="O288" s="49" t="s">
        <v>1537</v>
      </c>
    </row>
    <row r="289" spans="2:15">
      <c r="B289" s="44">
        <f ca="1">VLOOKUP( APIF_Import!$O289, Podesavanja!$N$3:$Q$9, 4, 0)</f>
        <v>5</v>
      </c>
      <c r="C289" s="229">
        <f ca="1">VLOOKUP( APIF_Import!$N289, Aop!$A$2:$P$456, 4, 0)</f>
        <v>507</v>
      </c>
      <c r="D289" s="230" t="str">
        <f ca="1">IF( ISNA( VLOOKUP( APIF_Import!$O289 &amp; APIF_Import!$D$1,Podesavanja!$AA$3:$AD$28, 4, 0)), "", SUBSTITUTE( VALUE( VLOOKUP( APIF_Import!$C289, INDIRECT( "Lookup_" &amp; APIF_Import!$O289), VLOOKUP( APIF_Import!$O289 &amp; APIF_Import!$D$1,Podesavanja!$AA$3:$AD$28, 4, 0), 0)), ".", ","))</f>
        <v>1210097</v>
      </c>
      <c r="E289" s="230">
        <f ca="1">IF( ISNA( VLOOKUP( APIF_Import!$O289 &amp; APIF_Import!$E$1,Podesavanja!$AA$3:$AD$28, 4, 0)), "", VLOOKUP( APIF_Import!$C289, INDIRECT( "Lookup_" &amp; APIF_Import!$O289), VLOOKUP( APIF_Import!$O289 &amp; APIF_Import!$E$1,Podesavanja!$AA$3:$AD$28, 4, 0), 0))</f>
        <v>108577</v>
      </c>
      <c r="F289" s="230" t="str">
        <f ca="1">IF( ISNA( VLOOKUP( APIF_Import!$O289 &amp; APIF_Import!$F$1,Podesavanja!$AA$3:$AD$28, 4, 0)), "", VLOOKUP( APIF_Import!$C289, INDIRECT( "Lookup_" &amp; APIF_Import!$O289), VLOOKUP( APIF_Import!$O289 &amp; APIF_Import!$F$1,Podesavanja!$AA$3:$AD$28, 4, 0), 0))</f>
        <v/>
      </c>
      <c r="G289" s="230" t="str">
        <f ca="1">IF( ISNA( VLOOKUP( APIF_Import!$O289 &amp; APIF_Import!$G$1,Podesavanja!$AA$3:$AD$28, 4, 0)), "", VLOOKUP( APIF_Import!$C289, INDIRECT( "Lookup_" &amp; APIF_Import!$O289), VLOOKUP( APIF_Import!$O289 &amp; APIF_Import!$G$1,Podesavanja!$AA$3:$AD$28, 4, 0), 0))</f>
        <v/>
      </c>
      <c r="H289" s="230" t="str">
        <f ca="1">IF( ISNA( VLOOKUP( APIF_Import!$O289 &amp; APIF_Import!$H$1,Podesavanja!$AA$3:$AD$28, 4, 0)), "", VLOOKUP( APIF_Import!$C289, INDIRECT( "Lookup_" &amp; APIF_Import!$O289), VLOOKUP( APIF_Import!$O289 &amp; APIF_Import!$H$1,Podesavanja!$AA$3:$AD$28, 4, 0), 0))</f>
        <v/>
      </c>
      <c r="I289" s="230" t="str">
        <f ca="1">IF( ISNA( VLOOKUP( APIF_Import!$O289 &amp; APIF_Import!$I$1,Podesavanja!$AA$3:$AD$28, 4, 0)), "", VLOOKUP( APIF_Import!$C289, INDIRECT( "Lookup_" &amp; APIF_Import!$M289:$O289), VLOOKUP( APIF_Import!$O289 &amp; APIF_Import!$I$1,Podesavanja!$AA$3:$AD$28, 4, 0), 0))</f>
        <v/>
      </c>
      <c r="J289" s="230" t="str">
        <f ca="1">IF( ISNA( VLOOKUP( APIF_Import!$O289 &amp; APIF_Import!$J$1,Podesavanja!$AA$3:$AD$28, 4, 0)), "", VLOOKUP( APIF_Import!$C289, INDIRECT( "Lookup_" &amp; APIF_Import!$M289:$O289), VLOOKUP( APIF_Import!$O289 &amp; APIF_Import!$J$1,Podesavanja!$AA$3:$AD$28, 4, 0), 0))</f>
        <v/>
      </c>
      <c r="K289" s="230" t="str">
        <f ca="1">IF( ISNA( VLOOKUP( APIF_Import!$O289 &amp; APIF_Import!$K$1,Podesavanja!$AA$3:$AD$28, 4, 0)), "", VLOOKUP( APIF_Import!$C289, INDIRECT( "Lookup_" &amp; APIF_Import!$M289:$O289), VLOOKUP( APIF_Import!$O289 &amp; APIF_Import!$K$1,Podesavanja!$AA$3:$AD$28, 4, 0), 0))</f>
        <v/>
      </c>
      <c r="L289" s="230" t="str">
        <f ca="1">IF( ISNA( VLOOKUP( APIF_Import!$O289 &amp; APIF_Import!$L$1,Podesavanja!$AA$3:$AD$28, 4, 0)), "", VLOOKUP( APIF_Import!$C289, INDIRECT( "Lookup_" &amp; APIF_Import!$M289:$O289), VLOOKUP( APIF_Import!$O289 &amp; APIF_Import!$L$1,Podesavanja!$AA$3:$AD$28, 4, 0), 0))</f>
        <v/>
      </c>
      <c r="M289" s="230" t="str">
        <f ca="1">IF( ISNA( VLOOKUP( APIF_Import!$O289 &amp; APIF_Import!$M$1,Podesavanja!$AA$3:$AD$28, 4, 0)), "", VLOOKUP( APIF_Import!$C289, INDIRECT( "Lookup_" &amp; APIF_Import!$M289:$O289), VLOOKUP( APIF_Import!$O289 &amp; APIF_Import!$M$1,Podesavanja!$AA$3:$AD$28, 4, 0), 0))</f>
        <v/>
      </c>
      <c r="N289" s="8">
        <v>290</v>
      </c>
      <c r="O289" s="49" t="s">
        <v>1537</v>
      </c>
    </row>
    <row r="290" spans="2:15">
      <c r="B290" s="44">
        <f ca="1">VLOOKUP( APIF_Import!$O290, Podesavanja!$N$3:$Q$9, 4, 0)</f>
        <v>5</v>
      </c>
      <c r="C290" s="229">
        <f ca="1">VLOOKUP( APIF_Import!$N290, Aop!$A$2:$P$456, 4, 0)</f>
        <v>508</v>
      </c>
      <c r="D290" s="230" t="str">
        <f ca="1">IF( ISNA( VLOOKUP( APIF_Import!$O290 &amp; APIF_Import!$D$1,Podesavanja!$AA$3:$AD$28, 4, 0)), "", SUBSTITUTE( VALUE( VLOOKUP( APIF_Import!$C290, INDIRECT( "Lookup_" &amp; APIF_Import!$O290), VLOOKUP( APIF_Import!$O290 &amp; APIF_Import!$D$1,Podesavanja!$AA$3:$AD$28, 4, 0), 0)), ".", ","))</f>
        <v>8071</v>
      </c>
      <c r="E290" s="230">
        <f ca="1">IF( ISNA( VLOOKUP( APIF_Import!$O290 &amp; APIF_Import!$E$1,Podesavanja!$AA$3:$AD$28, 4, 0)), "", VLOOKUP( APIF_Import!$C290, INDIRECT( "Lookup_" &amp; APIF_Import!$O290), VLOOKUP( APIF_Import!$O290 &amp; APIF_Import!$E$1,Podesavanja!$AA$3:$AD$28, 4, 0), 0))</f>
        <v>0</v>
      </c>
      <c r="F290" s="230" t="str">
        <f ca="1">IF( ISNA( VLOOKUP( APIF_Import!$O290 &amp; APIF_Import!$F$1,Podesavanja!$AA$3:$AD$28, 4, 0)), "", VLOOKUP( APIF_Import!$C290, INDIRECT( "Lookup_" &amp; APIF_Import!$O290), VLOOKUP( APIF_Import!$O290 &amp; APIF_Import!$F$1,Podesavanja!$AA$3:$AD$28, 4, 0), 0))</f>
        <v/>
      </c>
      <c r="G290" s="230" t="str">
        <f ca="1">IF( ISNA( VLOOKUP( APIF_Import!$O290 &amp; APIF_Import!$G$1,Podesavanja!$AA$3:$AD$28, 4, 0)), "", VLOOKUP( APIF_Import!$C290, INDIRECT( "Lookup_" &amp; APIF_Import!$O290), VLOOKUP( APIF_Import!$O290 &amp; APIF_Import!$G$1,Podesavanja!$AA$3:$AD$28, 4, 0), 0))</f>
        <v/>
      </c>
      <c r="H290" s="230" t="str">
        <f ca="1">IF( ISNA( VLOOKUP( APIF_Import!$O290 &amp; APIF_Import!$H$1,Podesavanja!$AA$3:$AD$28, 4, 0)), "", VLOOKUP( APIF_Import!$C290, INDIRECT( "Lookup_" &amp; APIF_Import!$O290), VLOOKUP( APIF_Import!$O290 &amp; APIF_Import!$H$1,Podesavanja!$AA$3:$AD$28, 4, 0), 0))</f>
        <v/>
      </c>
      <c r="I290" s="230" t="str">
        <f ca="1">IF( ISNA( VLOOKUP( APIF_Import!$O290 &amp; APIF_Import!$I$1,Podesavanja!$AA$3:$AD$28, 4, 0)), "", VLOOKUP( APIF_Import!$C290, INDIRECT( "Lookup_" &amp; APIF_Import!$M290:$O290), VLOOKUP( APIF_Import!$O290 &amp; APIF_Import!$I$1,Podesavanja!$AA$3:$AD$28, 4, 0), 0))</f>
        <v/>
      </c>
      <c r="J290" s="230" t="str">
        <f ca="1">IF( ISNA( VLOOKUP( APIF_Import!$O290 &amp; APIF_Import!$J$1,Podesavanja!$AA$3:$AD$28, 4, 0)), "", VLOOKUP( APIF_Import!$C290, INDIRECT( "Lookup_" &amp; APIF_Import!$M290:$O290), VLOOKUP( APIF_Import!$O290 &amp; APIF_Import!$J$1,Podesavanja!$AA$3:$AD$28, 4, 0), 0))</f>
        <v/>
      </c>
      <c r="K290" s="230" t="str">
        <f ca="1">IF( ISNA( VLOOKUP( APIF_Import!$O290 &amp; APIF_Import!$K$1,Podesavanja!$AA$3:$AD$28, 4, 0)), "", VLOOKUP( APIF_Import!$C290, INDIRECT( "Lookup_" &amp; APIF_Import!$M290:$O290), VLOOKUP( APIF_Import!$O290 &amp; APIF_Import!$K$1,Podesavanja!$AA$3:$AD$28, 4, 0), 0))</f>
        <v/>
      </c>
      <c r="L290" s="230" t="str">
        <f ca="1">IF( ISNA( VLOOKUP( APIF_Import!$O290 &amp; APIF_Import!$L$1,Podesavanja!$AA$3:$AD$28, 4, 0)), "", VLOOKUP( APIF_Import!$C290, INDIRECT( "Lookup_" &amp; APIF_Import!$M290:$O290), VLOOKUP( APIF_Import!$O290 &amp; APIF_Import!$L$1,Podesavanja!$AA$3:$AD$28, 4, 0), 0))</f>
        <v/>
      </c>
      <c r="M290" s="230" t="str">
        <f ca="1">IF( ISNA( VLOOKUP( APIF_Import!$O290 &amp; APIF_Import!$M$1,Podesavanja!$AA$3:$AD$28, 4, 0)), "", VLOOKUP( APIF_Import!$C290, INDIRECT( "Lookup_" &amp; APIF_Import!$M290:$O290), VLOOKUP( APIF_Import!$O290 &amp; APIF_Import!$M$1,Podesavanja!$AA$3:$AD$28, 4, 0), 0))</f>
        <v/>
      </c>
      <c r="N290" s="8">
        <v>291</v>
      </c>
      <c r="O290" s="49" t="s">
        <v>1537</v>
      </c>
    </row>
    <row r="291" spans="2:15">
      <c r="B291" s="44">
        <f ca="1">VLOOKUP( APIF_Import!$O291, Podesavanja!$N$3:$Q$9, 4, 0)</f>
        <v>5</v>
      </c>
      <c r="C291" s="229">
        <f ca="1">VLOOKUP( APIF_Import!$N291, Aop!$A$2:$P$456, 4, 0)</f>
        <v>509</v>
      </c>
      <c r="D291" s="230" t="str">
        <f ca="1">IF( ISNA( VLOOKUP( APIF_Import!$O291 &amp; APIF_Import!$D$1,Podesavanja!$AA$3:$AD$28, 4, 0)), "", SUBSTITUTE( VALUE( VLOOKUP( APIF_Import!$C291, INDIRECT( "Lookup_" &amp; APIF_Import!$O291), VLOOKUP( APIF_Import!$O291 &amp; APIF_Import!$D$1,Podesavanja!$AA$3:$AD$28, 4, 0), 0)), ".", ","))</f>
        <v>0</v>
      </c>
      <c r="E291" s="230">
        <f ca="1">IF( ISNA( VLOOKUP( APIF_Import!$O291 &amp; APIF_Import!$E$1,Podesavanja!$AA$3:$AD$28, 4, 0)), "", VLOOKUP( APIF_Import!$C291, INDIRECT( "Lookup_" &amp; APIF_Import!$O291), VLOOKUP( APIF_Import!$O291 &amp; APIF_Import!$E$1,Podesavanja!$AA$3:$AD$28, 4, 0), 0))</f>
        <v>0</v>
      </c>
      <c r="F291" s="230" t="str">
        <f ca="1">IF( ISNA( VLOOKUP( APIF_Import!$O291 &amp; APIF_Import!$F$1,Podesavanja!$AA$3:$AD$28, 4, 0)), "", VLOOKUP( APIF_Import!$C291, INDIRECT( "Lookup_" &amp; APIF_Import!$O291), VLOOKUP( APIF_Import!$O291 &amp; APIF_Import!$F$1,Podesavanja!$AA$3:$AD$28, 4, 0), 0))</f>
        <v/>
      </c>
      <c r="G291" s="230" t="str">
        <f ca="1">IF( ISNA( VLOOKUP( APIF_Import!$O291 &amp; APIF_Import!$G$1,Podesavanja!$AA$3:$AD$28, 4, 0)), "", VLOOKUP( APIF_Import!$C291, INDIRECT( "Lookup_" &amp; APIF_Import!$O291), VLOOKUP( APIF_Import!$O291 &amp; APIF_Import!$G$1,Podesavanja!$AA$3:$AD$28, 4, 0), 0))</f>
        <v/>
      </c>
      <c r="H291" s="230" t="str">
        <f ca="1">IF( ISNA( VLOOKUP( APIF_Import!$O291 &amp; APIF_Import!$H$1,Podesavanja!$AA$3:$AD$28, 4, 0)), "", VLOOKUP( APIF_Import!$C291, INDIRECT( "Lookup_" &amp; APIF_Import!$O291), VLOOKUP( APIF_Import!$O291 &amp; APIF_Import!$H$1,Podesavanja!$AA$3:$AD$28, 4, 0), 0))</f>
        <v/>
      </c>
      <c r="I291" s="230" t="str">
        <f ca="1">IF( ISNA( VLOOKUP( APIF_Import!$O291 &amp; APIF_Import!$I$1,Podesavanja!$AA$3:$AD$28, 4, 0)), "", VLOOKUP( APIF_Import!$C291, INDIRECT( "Lookup_" &amp; APIF_Import!$M291:$O291), VLOOKUP( APIF_Import!$O291 &amp; APIF_Import!$I$1,Podesavanja!$AA$3:$AD$28, 4, 0), 0))</f>
        <v/>
      </c>
      <c r="J291" s="230" t="str">
        <f ca="1">IF( ISNA( VLOOKUP( APIF_Import!$O291 &amp; APIF_Import!$J$1,Podesavanja!$AA$3:$AD$28, 4, 0)), "", VLOOKUP( APIF_Import!$C291, INDIRECT( "Lookup_" &amp; APIF_Import!$M291:$O291), VLOOKUP( APIF_Import!$O291 &amp; APIF_Import!$J$1,Podesavanja!$AA$3:$AD$28, 4, 0), 0))</f>
        <v/>
      </c>
      <c r="K291" s="230" t="str">
        <f ca="1">IF( ISNA( VLOOKUP( APIF_Import!$O291 &amp; APIF_Import!$K$1,Podesavanja!$AA$3:$AD$28, 4, 0)), "", VLOOKUP( APIF_Import!$C291, INDIRECT( "Lookup_" &amp; APIF_Import!$M291:$O291), VLOOKUP( APIF_Import!$O291 &amp; APIF_Import!$K$1,Podesavanja!$AA$3:$AD$28, 4, 0), 0))</f>
        <v/>
      </c>
      <c r="L291" s="230" t="str">
        <f ca="1">IF( ISNA( VLOOKUP( APIF_Import!$O291 &amp; APIF_Import!$L$1,Podesavanja!$AA$3:$AD$28, 4, 0)), "", VLOOKUP( APIF_Import!$C291, INDIRECT( "Lookup_" &amp; APIF_Import!$M291:$O291), VLOOKUP( APIF_Import!$O291 &amp; APIF_Import!$L$1,Podesavanja!$AA$3:$AD$28, 4, 0), 0))</f>
        <v/>
      </c>
      <c r="M291" s="230" t="str">
        <f ca="1">IF( ISNA( VLOOKUP( APIF_Import!$O291 &amp; APIF_Import!$M$1,Podesavanja!$AA$3:$AD$28, 4, 0)), "", VLOOKUP( APIF_Import!$C291, INDIRECT( "Lookup_" &amp; APIF_Import!$M291:$O291), VLOOKUP( APIF_Import!$O291 &amp; APIF_Import!$M$1,Podesavanja!$AA$3:$AD$28, 4, 0), 0))</f>
        <v/>
      </c>
      <c r="N291" s="8">
        <v>292</v>
      </c>
      <c r="O291" s="49" t="s">
        <v>1537</v>
      </c>
    </row>
    <row r="292" spans="2:15">
      <c r="B292" s="44">
        <f ca="1">VLOOKUP( APIF_Import!$O292, Podesavanja!$N$3:$Q$9, 4, 0)</f>
        <v>5</v>
      </c>
      <c r="C292" s="229">
        <f ca="1">VLOOKUP( APIF_Import!$N292, Aop!$A$2:$P$456, 4, 0)</f>
        <v>510</v>
      </c>
      <c r="D292" s="230" t="str">
        <f ca="1">IF( ISNA( VLOOKUP( APIF_Import!$O292 &amp; APIF_Import!$D$1,Podesavanja!$AA$3:$AD$28, 4, 0)), "", SUBSTITUTE( VALUE( VLOOKUP( APIF_Import!$C292, INDIRECT( "Lookup_" &amp; APIF_Import!$O292), VLOOKUP( APIF_Import!$O292 &amp; APIF_Import!$D$1,Podesavanja!$AA$3:$AD$28, 4, 0), 0)), ".", ","))</f>
        <v>611056</v>
      </c>
      <c r="E292" s="230">
        <f ca="1">IF( ISNA( VLOOKUP( APIF_Import!$O292 &amp; APIF_Import!$E$1,Podesavanja!$AA$3:$AD$28, 4, 0)), "", VLOOKUP( APIF_Import!$C292, INDIRECT( "Lookup_" &amp; APIF_Import!$O292), VLOOKUP( APIF_Import!$O292 &amp; APIF_Import!$E$1,Podesavanja!$AA$3:$AD$28, 4, 0), 0))</f>
        <v>592577</v>
      </c>
      <c r="F292" s="230" t="str">
        <f ca="1">IF( ISNA( VLOOKUP( APIF_Import!$O292 &amp; APIF_Import!$F$1,Podesavanja!$AA$3:$AD$28, 4, 0)), "", VLOOKUP( APIF_Import!$C292, INDIRECT( "Lookup_" &amp; APIF_Import!$O292), VLOOKUP( APIF_Import!$O292 &amp; APIF_Import!$F$1,Podesavanja!$AA$3:$AD$28, 4, 0), 0))</f>
        <v/>
      </c>
      <c r="G292" s="230" t="str">
        <f ca="1">IF( ISNA( VLOOKUP( APIF_Import!$O292 &amp; APIF_Import!$G$1,Podesavanja!$AA$3:$AD$28, 4, 0)), "", VLOOKUP( APIF_Import!$C292, INDIRECT( "Lookup_" &amp; APIF_Import!$O292), VLOOKUP( APIF_Import!$O292 &amp; APIF_Import!$G$1,Podesavanja!$AA$3:$AD$28, 4, 0), 0))</f>
        <v/>
      </c>
      <c r="H292" s="230" t="str">
        <f ca="1">IF( ISNA( VLOOKUP( APIF_Import!$O292 &amp; APIF_Import!$H$1,Podesavanja!$AA$3:$AD$28, 4, 0)), "", VLOOKUP( APIF_Import!$C292, INDIRECT( "Lookup_" &amp; APIF_Import!$O292), VLOOKUP( APIF_Import!$O292 &amp; APIF_Import!$H$1,Podesavanja!$AA$3:$AD$28, 4, 0), 0))</f>
        <v/>
      </c>
      <c r="I292" s="230" t="str">
        <f ca="1">IF( ISNA( VLOOKUP( APIF_Import!$O292 &amp; APIF_Import!$I$1,Podesavanja!$AA$3:$AD$28, 4, 0)), "", VLOOKUP( APIF_Import!$C292, INDIRECT( "Lookup_" &amp; APIF_Import!$M292:$O292), VLOOKUP( APIF_Import!$O292 &amp; APIF_Import!$I$1,Podesavanja!$AA$3:$AD$28, 4, 0), 0))</f>
        <v/>
      </c>
      <c r="J292" s="230" t="str">
        <f ca="1">IF( ISNA( VLOOKUP( APIF_Import!$O292 &amp; APIF_Import!$J$1,Podesavanja!$AA$3:$AD$28, 4, 0)), "", VLOOKUP( APIF_Import!$C292, INDIRECT( "Lookup_" &amp; APIF_Import!$M292:$O292), VLOOKUP( APIF_Import!$O292 &amp; APIF_Import!$J$1,Podesavanja!$AA$3:$AD$28, 4, 0), 0))</f>
        <v/>
      </c>
      <c r="K292" s="230" t="str">
        <f ca="1">IF( ISNA( VLOOKUP( APIF_Import!$O292 &amp; APIF_Import!$K$1,Podesavanja!$AA$3:$AD$28, 4, 0)), "", VLOOKUP( APIF_Import!$C292, INDIRECT( "Lookup_" &amp; APIF_Import!$M292:$O292), VLOOKUP( APIF_Import!$O292 &amp; APIF_Import!$K$1,Podesavanja!$AA$3:$AD$28, 4, 0), 0))</f>
        <v/>
      </c>
      <c r="L292" s="230" t="str">
        <f ca="1">IF( ISNA( VLOOKUP( APIF_Import!$O292 &amp; APIF_Import!$L$1,Podesavanja!$AA$3:$AD$28, 4, 0)), "", VLOOKUP( APIF_Import!$C292, INDIRECT( "Lookup_" &amp; APIF_Import!$M292:$O292), VLOOKUP( APIF_Import!$O292 &amp; APIF_Import!$L$1,Podesavanja!$AA$3:$AD$28, 4, 0), 0))</f>
        <v/>
      </c>
      <c r="M292" s="230" t="str">
        <f ca="1">IF( ISNA( VLOOKUP( APIF_Import!$O292 &amp; APIF_Import!$M$1,Podesavanja!$AA$3:$AD$28, 4, 0)), "", VLOOKUP( APIF_Import!$C292, INDIRECT( "Lookup_" &amp; APIF_Import!$M292:$O292), VLOOKUP( APIF_Import!$O292 &amp; APIF_Import!$M$1,Podesavanja!$AA$3:$AD$28, 4, 0), 0))</f>
        <v/>
      </c>
      <c r="N292" s="8">
        <v>293</v>
      </c>
      <c r="O292" s="49" t="s">
        <v>1537</v>
      </c>
    </row>
    <row r="293" spans="2:15">
      <c r="B293" s="44">
        <f ca="1">VLOOKUP( APIF_Import!$O293, Podesavanja!$N$3:$Q$9, 4, 0)</f>
        <v>5</v>
      </c>
      <c r="C293" s="229">
        <f ca="1">VLOOKUP( APIF_Import!$N293, Aop!$A$2:$P$456, 4, 0)</f>
        <v>511</v>
      </c>
      <c r="D293" s="230" t="str">
        <f ca="1">IF( ISNA( VLOOKUP( APIF_Import!$O293 &amp; APIF_Import!$D$1,Podesavanja!$AA$3:$AD$28, 4, 0)), "", SUBSTITUTE( VALUE( VLOOKUP( APIF_Import!$C293, INDIRECT( "Lookup_" &amp; APIF_Import!$O293), VLOOKUP( APIF_Import!$O293 &amp; APIF_Import!$D$1,Podesavanja!$AA$3:$AD$28, 4, 0), 0)), ".", ","))</f>
        <v>0</v>
      </c>
      <c r="E293" s="230">
        <f ca="1">IF( ISNA( VLOOKUP( APIF_Import!$O293 &amp; APIF_Import!$E$1,Podesavanja!$AA$3:$AD$28, 4, 0)), "", VLOOKUP( APIF_Import!$C293, INDIRECT( "Lookup_" &amp; APIF_Import!$O293), VLOOKUP( APIF_Import!$O293 &amp; APIF_Import!$E$1,Podesavanja!$AA$3:$AD$28, 4, 0), 0))</f>
        <v>0</v>
      </c>
      <c r="F293" s="230" t="str">
        <f ca="1">IF( ISNA( VLOOKUP( APIF_Import!$O293 &amp; APIF_Import!$F$1,Podesavanja!$AA$3:$AD$28, 4, 0)), "", VLOOKUP( APIF_Import!$C293, INDIRECT( "Lookup_" &amp; APIF_Import!$O293), VLOOKUP( APIF_Import!$O293 &amp; APIF_Import!$F$1,Podesavanja!$AA$3:$AD$28, 4, 0), 0))</f>
        <v/>
      </c>
      <c r="G293" s="230" t="str">
        <f ca="1">IF( ISNA( VLOOKUP( APIF_Import!$O293 &amp; APIF_Import!$G$1,Podesavanja!$AA$3:$AD$28, 4, 0)), "", VLOOKUP( APIF_Import!$C293, INDIRECT( "Lookup_" &amp; APIF_Import!$O293), VLOOKUP( APIF_Import!$O293 &amp; APIF_Import!$G$1,Podesavanja!$AA$3:$AD$28, 4, 0), 0))</f>
        <v/>
      </c>
      <c r="H293" s="230" t="str">
        <f ca="1">IF( ISNA( VLOOKUP( APIF_Import!$O293 &amp; APIF_Import!$H$1,Podesavanja!$AA$3:$AD$28, 4, 0)), "", VLOOKUP( APIF_Import!$C293, INDIRECT( "Lookup_" &amp; APIF_Import!$O293), VLOOKUP( APIF_Import!$O293 &amp; APIF_Import!$H$1,Podesavanja!$AA$3:$AD$28, 4, 0), 0))</f>
        <v/>
      </c>
      <c r="I293" s="230" t="str">
        <f ca="1">IF( ISNA( VLOOKUP( APIF_Import!$O293 &amp; APIF_Import!$I$1,Podesavanja!$AA$3:$AD$28, 4, 0)), "", VLOOKUP( APIF_Import!$C293, INDIRECT( "Lookup_" &amp; APIF_Import!$M293:$O293), VLOOKUP( APIF_Import!$O293 &amp; APIF_Import!$I$1,Podesavanja!$AA$3:$AD$28, 4, 0), 0))</f>
        <v/>
      </c>
      <c r="J293" s="230" t="str">
        <f ca="1">IF( ISNA( VLOOKUP( APIF_Import!$O293 &amp; APIF_Import!$J$1,Podesavanja!$AA$3:$AD$28, 4, 0)), "", VLOOKUP( APIF_Import!$C293, INDIRECT( "Lookup_" &amp; APIF_Import!$M293:$O293), VLOOKUP( APIF_Import!$O293 &amp; APIF_Import!$J$1,Podesavanja!$AA$3:$AD$28, 4, 0), 0))</f>
        <v/>
      </c>
      <c r="K293" s="230" t="str">
        <f ca="1">IF( ISNA( VLOOKUP( APIF_Import!$O293 &amp; APIF_Import!$K$1,Podesavanja!$AA$3:$AD$28, 4, 0)), "", VLOOKUP( APIF_Import!$C293, INDIRECT( "Lookup_" &amp; APIF_Import!$M293:$O293), VLOOKUP( APIF_Import!$O293 &amp; APIF_Import!$K$1,Podesavanja!$AA$3:$AD$28, 4, 0), 0))</f>
        <v/>
      </c>
      <c r="L293" s="230" t="str">
        <f ca="1">IF( ISNA( VLOOKUP( APIF_Import!$O293 &amp; APIF_Import!$L$1,Podesavanja!$AA$3:$AD$28, 4, 0)), "", VLOOKUP( APIF_Import!$C293, INDIRECT( "Lookup_" &amp; APIF_Import!$M293:$O293), VLOOKUP( APIF_Import!$O293 &amp; APIF_Import!$L$1,Podesavanja!$AA$3:$AD$28, 4, 0), 0))</f>
        <v/>
      </c>
      <c r="M293" s="230" t="str">
        <f ca="1">IF( ISNA( VLOOKUP( APIF_Import!$O293 &amp; APIF_Import!$M$1,Podesavanja!$AA$3:$AD$28, 4, 0)), "", VLOOKUP( APIF_Import!$C293, INDIRECT( "Lookup_" &amp; APIF_Import!$M293:$O293), VLOOKUP( APIF_Import!$O293 &amp; APIF_Import!$M$1,Podesavanja!$AA$3:$AD$28, 4, 0), 0))</f>
        <v/>
      </c>
      <c r="N293" s="8">
        <v>294</v>
      </c>
      <c r="O293" s="49" t="s">
        <v>1537</v>
      </c>
    </row>
    <row r="294" spans="2:15">
      <c r="B294" s="44">
        <f ca="1">VLOOKUP( APIF_Import!$O294, Podesavanja!$N$3:$Q$9, 4, 0)</f>
        <v>5</v>
      </c>
      <c r="C294" s="229">
        <f ca="1">VLOOKUP( APIF_Import!$N294, Aop!$A$2:$P$456, 4, 0)</f>
        <v>512</v>
      </c>
      <c r="D294" s="230" t="str">
        <f ca="1">IF( ISNA( VLOOKUP( APIF_Import!$O294 &amp; APIF_Import!$D$1,Podesavanja!$AA$3:$AD$28, 4, 0)), "", SUBSTITUTE( VALUE( VLOOKUP( APIF_Import!$C294, INDIRECT( "Lookup_" &amp; APIF_Import!$O294), VLOOKUP( APIF_Import!$O294 &amp; APIF_Import!$D$1,Podesavanja!$AA$3:$AD$28, 4, 0), 0)), ".", ","))</f>
        <v>207069</v>
      </c>
      <c r="E294" s="230">
        <f ca="1">IF( ISNA( VLOOKUP( APIF_Import!$O294 &amp; APIF_Import!$E$1,Podesavanja!$AA$3:$AD$28, 4, 0)), "", VLOOKUP( APIF_Import!$C294, INDIRECT( "Lookup_" &amp; APIF_Import!$O294), VLOOKUP( APIF_Import!$O294 &amp; APIF_Import!$E$1,Podesavanja!$AA$3:$AD$28, 4, 0), 0))</f>
        <v>127224</v>
      </c>
      <c r="F294" s="230" t="str">
        <f ca="1">IF( ISNA( VLOOKUP( APIF_Import!$O294 &amp; APIF_Import!$F$1,Podesavanja!$AA$3:$AD$28, 4, 0)), "", VLOOKUP( APIF_Import!$C294, INDIRECT( "Lookup_" &amp; APIF_Import!$O294), VLOOKUP( APIF_Import!$O294 &amp; APIF_Import!$F$1,Podesavanja!$AA$3:$AD$28, 4, 0), 0))</f>
        <v/>
      </c>
      <c r="G294" s="230" t="str">
        <f ca="1">IF( ISNA( VLOOKUP( APIF_Import!$O294 &amp; APIF_Import!$G$1,Podesavanja!$AA$3:$AD$28, 4, 0)), "", VLOOKUP( APIF_Import!$C294, INDIRECT( "Lookup_" &amp; APIF_Import!$O294), VLOOKUP( APIF_Import!$O294 &amp; APIF_Import!$G$1,Podesavanja!$AA$3:$AD$28, 4, 0), 0))</f>
        <v/>
      </c>
      <c r="H294" s="230" t="str">
        <f ca="1">IF( ISNA( VLOOKUP( APIF_Import!$O294 &amp; APIF_Import!$H$1,Podesavanja!$AA$3:$AD$28, 4, 0)), "", VLOOKUP( APIF_Import!$C294, INDIRECT( "Lookup_" &amp; APIF_Import!$O294), VLOOKUP( APIF_Import!$O294 &amp; APIF_Import!$H$1,Podesavanja!$AA$3:$AD$28, 4, 0), 0))</f>
        <v/>
      </c>
      <c r="I294" s="230" t="str">
        <f ca="1">IF( ISNA( VLOOKUP( APIF_Import!$O294 &amp; APIF_Import!$I$1,Podesavanja!$AA$3:$AD$28, 4, 0)), "", VLOOKUP( APIF_Import!$C294, INDIRECT( "Lookup_" &amp; APIF_Import!$M294:$O294), VLOOKUP( APIF_Import!$O294 &amp; APIF_Import!$I$1,Podesavanja!$AA$3:$AD$28, 4, 0), 0))</f>
        <v/>
      </c>
      <c r="J294" s="230" t="str">
        <f ca="1">IF( ISNA( VLOOKUP( APIF_Import!$O294 &amp; APIF_Import!$J$1,Podesavanja!$AA$3:$AD$28, 4, 0)), "", VLOOKUP( APIF_Import!$C294, INDIRECT( "Lookup_" &amp; APIF_Import!$M294:$O294), VLOOKUP( APIF_Import!$O294 &amp; APIF_Import!$J$1,Podesavanja!$AA$3:$AD$28, 4, 0), 0))</f>
        <v/>
      </c>
      <c r="K294" s="230" t="str">
        <f ca="1">IF( ISNA( VLOOKUP( APIF_Import!$O294 &amp; APIF_Import!$K$1,Podesavanja!$AA$3:$AD$28, 4, 0)), "", VLOOKUP( APIF_Import!$C294, INDIRECT( "Lookup_" &amp; APIF_Import!$M294:$O294), VLOOKUP( APIF_Import!$O294 &amp; APIF_Import!$K$1,Podesavanja!$AA$3:$AD$28, 4, 0), 0))</f>
        <v/>
      </c>
      <c r="L294" s="230" t="str">
        <f ca="1">IF( ISNA( VLOOKUP( APIF_Import!$O294 &amp; APIF_Import!$L$1,Podesavanja!$AA$3:$AD$28, 4, 0)), "", VLOOKUP( APIF_Import!$C294, INDIRECT( "Lookup_" &amp; APIF_Import!$M294:$O294), VLOOKUP( APIF_Import!$O294 &amp; APIF_Import!$L$1,Podesavanja!$AA$3:$AD$28, 4, 0), 0))</f>
        <v/>
      </c>
      <c r="M294" s="230" t="str">
        <f ca="1">IF( ISNA( VLOOKUP( APIF_Import!$O294 &amp; APIF_Import!$M$1,Podesavanja!$AA$3:$AD$28, 4, 0)), "", VLOOKUP( APIF_Import!$C294, INDIRECT( "Lookup_" &amp; APIF_Import!$M294:$O294), VLOOKUP( APIF_Import!$O294 &amp; APIF_Import!$M$1,Podesavanja!$AA$3:$AD$28, 4, 0), 0))</f>
        <v/>
      </c>
      <c r="N294" s="8">
        <v>295</v>
      </c>
      <c r="O294" s="49" t="s">
        <v>1537</v>
      </c>
    </row>
    <row r="295" spans="2:15">
      <c r="B295" s="44">
        <f ca="1">VLOOKUP( APIF_Import!$O295, Podesavanja!$N$3:$Q$9, 4, 0)</f>
        <v>5</v>
      </c>
      <c r="C295" s="229">
        <f ca="1">VLOOKUP( APIF_Import!$N295, Aop!$A$2:$P$456, 4, 0)</f>
        <v>513</v>
      </c>
      <c r="D295" s="230" t="str">
        <f ca="1">IF( ISNA( VLOOKUP( APIF_Import!$O295 &amp; APIF_Import!$D$1,Podesavanja!$AA$3:$AD$28, 4, 0)), "", SUBSTITUTE( VALUE( VLOOKUP( APIF_Import!$C295, INDIRECT( "Lookup_" &amp; APIF_Import!$O295), VLOOKUP( APIF_Import!$O295 &amp; APIF_Import!$D$1,Podesavanja!$AA$3:$AD$28, 4, 0), 0)), ".", ","))</f>
        <v>0</v>
      </c>
      <c r="E295" s="230">
        <f ca="1">IF( ISNA( VLOOKUP( APIF_Import!$O295 &amp; APIF_Import!$E$1,Podesavanja!$AA$3:$AD$28, 4, 0)), "", VLOOKUP( APIF_Import!$C295, INDIRECT( "Lookup_" &amp; APIF_Import!$O295), VLOOKUP( APIF_Import!$O295 &amp; APIF_Import!$E$1,Podesavanja!$AA$3:$AD$28, 4, 0), 0))</f>
        <v>0</v>
      </c>
      <c r="F295" s="230" t="str">
        <f ca="1">IF( ISNA( VLOOKUP( APIF_Import!$O295 &amp; APIF_Import!$F$1,Podesavanja!$AA$3:$AD$28, 4, 0)), "", VLOOKUP( APIF_Import!$C295, INDIRECT( "Lookup_" &amp; APIF_Import!$O295), VLOOKUP( APIF_Import!$O295 &amp; APIF_Import!$F$1,Podesavanja!$AA$3:$AD$28, 4, 0), 0))</f>
        <v/>
      </c>
      <c r="G295" s="230" t="str">
        <f ca="1">IF( ISNA( VLOOKUP( APIF_Import!$O295 &amp; APIF_Import!$G$1,Podesavanja!$AA$3:$AD$28, 4, 0)), "", VLOOKUP( APIF_Import!$C295, INDIRECT( "Lookup_" &amp; APIF_Import!$O295), VLOOKUP( APIF_Import!$O295 &amp; APIF_Import!$G$1,Podesavanja!$AA$3:$AD$28, 4, 0), 0))</f>
        <v/>
      </c>
      <c r="H295" s="230" t="str">
        <f ca="1">IF( ISNA( VLOOKUP( APIF_Import!$O295 &amp; APIF_Import!$H$1,Podesavanja!$AA$3:$AD$28, 4, 0)), "", VLOOKUP( APIF_Import!$C295, INDIRECT( "Lookup_" &amp; APIF_Import!$O295), VLOOKUP( APIF_Import!$O295 &amp; APIF_Import!$H$1,Podesavanja!$AA$3:$AD$28, 4, 0), 0))</f>
        <v/>
      </c>
      <c r="I295" s="230" t="str">
        <f ca="1">IF( ISNA( VLOOKUP( APIF_Import!$O295 &amp; APIF_Import!$I$1,Podesavanja!$AA$3:$AD$28, 4, 0)), "", VLOOKUP( APIF_Import!$C295, INDIRECT( "Lookup_" &amp; APIF_Import!$M295:$O295), VLOOKUP( APIF_Import!$O295 &amp; APIF_Import!$I$1,Podesavanja!$AA$3:$AD$28, 4, 0), 0))</f>
        <v/>
      </c>
      <c r="J295" s="230" t="str">
        <f ca="1">IF( ISNA( VLOOKUP( APIF_Import!$O295 &amp; APIF_Import!$J$1,Podesavanja!$AA$3:$AD$28, 4, 0)), "", VLOOKUP( APIF_Import!$C295, INDIRECT( "Lookup_" &amp; APIF_Import!$M295:$O295), VLOOKUP( APIF_Import!$O295 &amp; APIF_Import!$J$1,Podesavanja!$AA$3:$AD$28, 4, 0), 0))</f>
        <v/>
      </c>
      <c r="K295" s="230" t="str">
        <f ca="1">IF( ISNA( VLOOKUP( APIF_Import!$O295 &amp; APIF_Import!$K$1,Podesavanja!$AA$3:$AD$28, 4, 0)), "", VLOOKUP( APIF_Import!$C295, INDIRECT( "Lookup_" &amp; APIF_Import!$M295:$O295), VLOOKUP( APIF_Import!$O295 &amp; APIF_Import!$K$1,Podesavanja!$AA$3:$AD$28, 4, 0), 0))</f>
        <v/>
      </c>
      <c r="L295" s="230" t="str">
        <f ca="1">IF( ISNA( VLOOKUP( APIF_Import!$O295 &amp; APIF_Import!$L$1,Podesavanja!$AA$3:$AD$28, 4, 0)), "", VLOOKUP( APIF_Import!$C295, INDIRECT( "Lookup_" &amp; APIF_Import!$M295:$O295), VLOOKUP( APIF_Import!$O295 &amp; APIF_Import!$L$1,Podesavanja!$AA$3:$AD$28, 4, 0), 0))</f>
        <v/>
      </c>
      <c r="M295" s="230" t="str">
        <f ca="1">IF( ISNA( VLOOKUP( APIF_Import!$O295 &amp; APIF_Import!$M$1,Podesavanja!$AA$3:$AD$28, 4, 0)), "", VLOOKUP( APIF_Import!$C295, INDIRECT( "Lookup_" &amp; APIF_Import!$M295:$O295), VLOOKUP( APIF_Import!$O295 &amp; APIF_Import!$M$1,Podesavanja!$AA$3:$AD$28, 4, 0), 0))</f>
        <v/>
      </c>
      <c r="N295" s="8">
        <v>296</v>
      </c>
      <c r="O295" s="49" t="s">
        <v>1537</v>
      </c>
    </row>
    <row r="296" spans="2:15">
      <c r="B296" s="44">
        <f ca="1">VLOOKUP( APIF_Import!$O296, Podesavanja!$N$3:$Q$9, 4, 0)</f>
        <v>5</v>
      </c>
      <c r="C296" s="229">
        <f ca="1">VLOOKUP( APIF_Import!$N296, Aop!$A$2:$P$456, 4, 0)</f>
        <v>514</v>
      </c>
      <c r="D296" s="230" t="str">
        <f ca="1">IF( ISNA( VLOOKUP( APIF_Import!$O296 &amp; APIF_Import!$D$1,Podesavanja!$AA$3:$AD$28, 4, 0)), "", SUBSTITUTE( VALUE( VLOOKUP( APIF_Import!$C296, INDIRECT( "Lookup_" &amp; APIF_Import!$O296), VLOOKUP( APIF_Import!$O296 &amp; APIF_Import!$D$1,Podesavanja!$AA$3:$AD$28, 4, 0), 0)), ".", ","))</f>
        <v>514127</v>
      </c>
      <c r="E296" s="230">
        <f ca="1">IF( ISNA( VLOOKUP( APIF_Import!$O296 &amp; APIF_Import!$E$1,Podesavanja!$AA$3:$AD$28, 4, 0)), "", VLOOKUP( APIF_Import!$C296, INDIRECT( "Lookup_" &amp; APIF_Import!$O296), VLOOKUP( APIF_Import!$O296 &amp; APIF_Import!$E$1,Podesavanja!$AA$3:$AD$28, 4, 0), 0))</f>
        <v>257540</v>
      </c>
      <c r="F296" s="230" t="str">
        <f ca="1">IF( ISNA( VLOOKUP( APIF_Import!$O296 &amp; APIF_Import!$F$1,Podesavanja!$AA$3:$AD$28, 4, 0)), "", VLOOKUP( APIF_Import!$C296, INDIRECT( "Lookup_" &amp; APIF_Import!$O296), VLOOKUP( APIF_Import!$O296 &amp; APIF_Import!$F$1,Podesavanja!$AA$3:$AD$28, 4, 0), 0))</f>
        <v/>
      </c>
      <c r="G296" s="230" t="str">
        <f ca="1">IF( ISNA( VLOOKUP( APIF_Import!$O296 &amp; APIF_Import!$G$1,Podesavanja!$AA$3:$AD$28, 4, 0)), "", VLOOKUP( APIF_Import!$C296, INDIRECT( "Lookup_" &amp; APIF_Import!$O296), VLOOKUP( APIF_Import!$O296 &amp; APIF_Import!$G$1,Podesavanja!$AA$3:$AD$28, 4, 0), 0))</f>
        <v/>
      </c>
      <c r="H296" s="230" t="str">
        <f ca="1">IF( ISNA( VLOOKUP( APIF_Import!$O296 &amp; APIF_Import!$H$1,Podesavanja!$AA$3:$AD$28, 4, 0)), "", VLOOKUP( APIF_Import!$C296, INDIRECT( "Lookup_" &amp; APIF_Import!$O296), VLOOKUP( APIF_Import!$O296 &amp; APIF_Import!$H$1,Podesavanja!$AA$3:$AD$28, 4, 0), 0))</f>
        <v/>
      </c>
      <c r="I296" s="230" t="str">
        <f ca="1">IF( ISNA( VLOOKUP( APIF_Import!$O296 &amp; APIF_Import!$I$1,Podesavanja!$AA$3:$AD$28, 4, 0)), "", VLOOKUP( APIF_Import!$C296, INDIRECT( "Lookup_" &amp; APIF_Import!$M296:$O296), VLOOKUP( APIF_Import!$O296 &amp; APIF_Import!$I$1,Podesavanja!$AA$3:$AD$28, 4, 0), 0))</f>
        <v/>
      </c>
      <c r="J296" s="230" t="str">
        <f ca="1">IF( ISNA( VLOOKUP( APIF_Import!$O296 &amp; APIF_Import!$J$1,Podesavanja!$AA$3:$AD$28, 4, 0)), "", VLOOKUP( APIF_Import!$C296, INDIRECT( "Lookup_" &amp; APIF_Import!$M296:$O296), VLOOKUP( APIF_Import!$O296 &amp; APIF_Import!$J$1,Podesavanja!$AA$3:$AD$28, 4, 0), 0))</f>
        <v/>
      </c>
      <c r="K296" s="230" t="str">
        <f ca="1">IF( ISNA( VLOOKUP( APIF_Import!$O296 &amp; APIF_Import!$K$1,Podesavanja!$AA$3:$AD$28, 4, 0)), "", VLOOKUP( APIF_Import!$C296, INDIRECT( "Lookup_" &amp; APIF_Import!$M296:$O296), VLOOKUP( APIF_Import!$O296 &amp; APIF_Import!$K$1,Podesavanja!$AA$3:$AD$28, 4, 0), 0))</f>
        <v/>
      </c>
      <c r="L296" s="230" t="str">
        <f ca="1">IF( ISNA( VLOOKUP( APIF_Import!$O296 &amp; APIF_Import!$L$1,Podesavanja!$AA$3:$AD$28, 4, 0)), "", VLOOKUP( APIF_Import!$C296, INDIRECT( "Lookup_" &amp; APIF_Import!$M296:$O296), VLOOKUP( APIF_Import!$O296 &amp; APIF_Import!$L$1,Podesavanja!$AA$3:$AD$28, 4, 0), 0))</f>
        <v/>
      </c>
      <c r="M296" s="230" t="str">
        <f ca="1">IF( ISNA( VLOOKUP( APIF_Import!$O296 &amp; APIF_Import!$M$1,Podesavanja!$AA$3:$AD$28, 4, 0)), "", VLOOKUP( APIF_Import!$C296, INDIRECT( "Lookup_" &amp; APIF_Import!$M296:$O296), VLOOKUP( APIF_Import!$O296 &amp; APIF_Import!$M$1,Podesavanja!$AA$3:$AD$28, 4, 0), 0))</f>
        <v/>
      </c>
      <c r="N296" s="8">
        <v>297</v>
      </c>
      <c r="O296" s="49" t="s">
        <v>1537</v>
      </c>
    </row>
    <row r="297" spans="2:15">
      <c r="B297" s="44">
        <f ca="1">VLOOKUP( APIF_Import!$O297, Podesavanja!$N$3:$Q$9, 4, 0)</f>
        <v>5</v>
      </c>
      <c r="C297" s="229">
        <f ca="1">VLOOKUP( APIF_Import!$N297, Aop!$A$2:$P$456, 4, 0)</f>
        <v>515</v>
      </c>
      <c r="D297" s="230" t="str">
        <f ca="1">IF( ISNA( VLOOKUP( APIF_Import!$O297 &amp; APIF_Import!$D$1,Podesavanja!$AA$3:$AD$28, 4, 0)), "", SUBSTITUTE( VALUE( VLOOKUP( APIF_Import!$C297, INDIRECT( "Lookup_" &amp; APIF_Import!$O297), VLOOKUP( APIF_Import!$O297 &amp; APIF_Import!$D$1,Podesavanja!$AA$3:$AD$28, 4, 0), 0)), ".", ","))</f>
        <v>17085001</v>
      </c>
      <c r="E297" s="230">
        <f ca="1">IF( ISNA( VLOOKUP( APIF_Import!$O297 &amp; APIF_Import!$E$1,Podesavanja!$AA$3:$AD$28, 4, 0)), "", VLOOKUP( APIF_Import!$C297, INDIRECT( "Lookup_" &amp; APIF_Import!$O297), VLOOKUP( APIF_Import!$O297 &amp; APIF_Import!$E$1,Podesavanja!$AA$3:$AD$28, 4, 0), 0))</f>
        <v>0</v>
      </c>
      <c r="F297" s="230" t="str">
        <f ca="1">IF( ISNA( VLOOKUP( APIF_Import!$O297 &amp; APIF_Import!$F$1,Podesavanja!$AA$3:$AD$28, 4, 0)), "", VLOOKUP( APIF_Import!$C297, INDIRECT( "Lookup_" &amp; APIF_Import!$O297), VLOOKUP( APIF_Import!$O297 &amp; APIF_Import!$F$1,Podesavanja!$AA$3:$AD$28, 4, 0), 0))</f>
        <v/>
      </c>
      <c r="G297" s="230" t="str">
        <f ca="1">IF( ISNA( VLOOKUP( APIF_Import!$O297 &amp; APIF_Import!$G$1,Podesavanja!$AA$3:$AD$28, 4, 0)), "", VLOOKUP( APIF_Import!$C297, INDIRECT( "Lookup_" &amp; APIF_Import!$O297), VLOOKUP( APIF_Import!$O297 &amp; APIF_Import!$G$1,Podesavanja!$AA$3:$AD$28, 4, 0), 0))</f>
        <v/>
      </c>
      <c r="H297" s="230" t="str">
        <f ca="1">IF( ISNA( VLOOKUP( APIF_Import!$O297 &amp; APIF_Import!$H$1,Podesavanja!$AA$3:$AD$28, 4, 0)), "", VLOOKUP( APIF_Import!$C297, INDIRECT( "Lookup_" &amp; APIF_Import!$O297), VLOOKUP( APIF_Import!$O297 &amp; APIF_Import!$H$1,Podesavanja!$AA$3:$AD$28, 4, 0), 0))</f>
        <v/>
      </c>
      <c r="I297" s="230" t="str">
        <f ca="1">IF( ISNA( VLOOKUP( APIF_Import!$O297 &amp; APIF_Import!$I$1,Podesavanja!$AA$3:$AD$28, 4, 0)), "", VLOOKUP( APIF_Import!$C297, INDIRECT( "Lookup_" &amp; APIF_Import!$M297:$O297), VLOOKUP( APIF_Import!$O297 &amp; APIF_Import!$I$1,Podesavanja!$AA$3:$AD$28, 4, 0), 0))</f>
        <v/>
      </c>
      <c r="J297" s="230" t="str">
        <f ca="1">IF( ISNA( VLOOKUP( APIF_Import!$O297 &amp; APIF_Import!$J$1,Podesavanja!$AA$3:$AD$28, 4, 0)), "", VLOOKUP( APIF_Import!$C297, INDIRECT( "Lookup_" &amp; APIF_Import!$M297:$O297), VLOOKUP( APIF_Import!$O297 &amp; APIF_Import!$J$1,Podesavanja!$AA$3:$AD$28, 4, 0), 0))</f>
        <v/>
      </c>
      <c r="K297" s="230" t="str">
        <f ca="1">IF( ISNA( VLOOKUP( APIF_Import!$O297 &amp; APIF_Import!$K$1,Podesavanja!$AA$3:$AD$28, 4, 0)), "", VLOOKUP( APIF_Import!$C297, INDIRECT( "Lookup_" &amp; APIF_Import!$M297:$O297), VLOOKUP( APIF_Import!$O297 &amp; APIF_Import!$K$1,Podesavanja!$AA$3:$AD$28, 4, 0), 0))</f>
        <v/>
      </c>
      <c r="L297" s="230" t="str">
        <f ca="1">IF( ISNA( VLOOKUP( APIF_Import!$O297 &amp; APIF_Import!$L$1,Podesavanja!$AA$3:$AD$28, 4, 0)), "", VLOOKUP( APIF_Import!$C297, INDIRECT( "Lookup_" &amp; APIF_Import!$M297:$O297), VLOOKUP( APIF_Import!$O297 &amp; APIF_Import!$L$1,Podesavanja!$AA$3:$AD$28, 4, 0), 0))</f>
        <v/>
      </c>
      <c r="M297" s="230" t="str">
        <f ca="1">IF( ISNA( VLOOKUP( APIF_Import!$O297 &amp; APIF_Import!$M$1,Podesavanja!$AA$3:$AD$28, 4, 0)), "", VLOOKUP( APIF_Import!$C297, INDIRECT( "Lookup_" &amp; APIF_Import!$M297:$O297), VLOOKUP( APIF_Import!$O297 &amp; APIF_Import!$M$1,Podesavanja!$AA$3:$AD$28, 4, 0), 0))</f>
        <v/>
      </c>
      <c r="N297" s="8">
        <v>298</v>
      </c>
      <c r="O297" s="49" t="s">
        <v>1537</v>
      </c>
    </row>
    <row r="298" spans="2:15">
      <c r="B298" s="44">
        <f ca="1">VLOOKUP( APIF_Import!$O298, Podesavanja!$N$3:$Q$9, 4, 0)</f>
        <v>5</v>
      </c>
      <c r="C298" s="229">
        <f ca="1">VLOOKUP( APIF_Import!$N298, Aop!$A$2:$P$456, 4, 0)</f>
        <v>516</v>
      </c>
      <c r="D298" s="230" t="str">
        <f ca="1">IF( ISNA( VLOOKUP( APIF_Import!$O298 &amp; APIF_Import!$D$1,Podesavanja!$AA$3:$AD$28, 4, 0)), "", SUBSTITUTE( VALUE( VLOOKUP( APIF_Import!$C298, INDIRECT( "Lookup_" &amp; APIF_Import!$O298), VLOOKUP( APIF_Import!$O298 &amp; APIF_Import!$D$1,Podesavanja!$AA$3:$AD$28, 4, 0), 0)), ".", ","))</f>
        <v>0</v>
      </c>
      <c r="E298" s="230">
        <f ca="1">IF( ISNA( VLOOKUP( APIF_Import!$O298 &amp; APIF_Import!$E$1,Podesavanja!$AA$3:$AD$28, 4, 0)), "", VLOOKUP( APIF_Import!$C298, INDIRECT( "Lookup_" &amp; APIF_Import!$O298), VLOOKUP( APIF_Import!$O298 &amp; APIF_Import!$E$1,Podesavanja!$AA$3:$AD$28, 4, 0), 0))</f>
        <v>0</v>
      </c>
      <c r="F298" s="230" t="str">
        <f ca="1">IF( ISNA( VLOOKUP( APIF_Import!$O298 &amp; APIF_Import!$F$1,Podesavanja!$AA$3:$AD$28, 4, 0)), "", VLOOKUP( APIF_Import!$C298, INDIRECT( "Lookup_" &amp; APIF_Import!$O298), VLOOKUP( APIF_Import!$O298 &amp; APIF_Import!$F$1,Podesavanja!$AA$3:$AD$28, 4, 0), 0))</f>
        <v/>
      </c>
      <c r="G298" s="230" t="str">
        <f ca="1">IF( ISNA( VLOOKUP( APIF_Import!$O298 &amp; APIF_Import!$G$1,Podesavanja!$AA$3:$AD$28, 4, 0)), "", VLOOKUP( APIF_Import!$C298, INDIRECT( "Lookup_" &amp; APIF_Import!$O298), VLOOKUP( APIF_Import!$O298 &amp; APIF_Import!$G$1,Podesavanja!$AA$3:$AD$28, 4, 0), 0))</f>
        <v/>
      </c>
      <c r="H298" s="230" t="str">
        <f ca="1">IF( ISNA( VLOOKUP( APIF_Import!$O298 &amp; APIF_Import!$H$1,Podesavanja!$AA$3:$AD$28, 4, 0)), "", VLOOKUP( APIF_Import!$C298, INDIRECT( "Lookup_" &amp; APIF_Import!$O298), VLOOKUP( APIF_Import!$O298 &amp; APIF_Import!$H$1,Podesavanja!$AA$3:$AD$28, 4, 0), 0))</f>
        <v/>
      </c>
      <c r="I298" s="230" t="str">
        <f ca="1">IF( ISNA( VLOOKUP( APIF_Import!$O298 &amp; APIF_Import!$I$1,Podesavanja!$AA$3:$AD$28, 4, 0)), "", VLOOKUP( APIF_Import!$C298, INDIRECT( "Lookup_" &amp; APIF_Import!$M298:$O298), VLOOKUP( APIF_Import!$O298 &amp; APIF_Import!$I$1,Podesavanja!$AA$3:$AD$28, 4, 0), 0))</f>
        <v/>
      </c>
      <c r="J298" s="230" t="str">
        <f ca="1">IF( ISNA( VLOOKUP( APIF_Import!$O298 &amp; APIF_Import!$J$1,Podesavanja!$AA$3:$AD$28, 4, 0)), "", VLOOKUP( APIF_Import!$C298, INDIRECT( "Lookup_" &amp; APIF_Import!$M298:$O298), VLOOKUP( APIF_Import!$O298 &amp; APIF_Import!$J$1,Podesavanja!$AA$3:$AD$28, 4, 0), 0))</f>
        <v/>
      </c>
      <c r="K298" s="230" t="str">
        <f ca="1">IF( ISNA( VLOOKUP( APIF_Import!$O298 &amp; APIF_Import!$K$1,Podesavanja!$AA$3:$AD$28, 4, 0)), "", VLOOKUP( APIF_Import!$C298, INDIRECT( "Lookup_" &amp; APIF_Import!$M298:$O298), VLOOKUP( APIF_Import!$O298 &amp; APIF_Import!$K$1,Podesavanja!$AA$3:$AD$28, 4, 0), 0))</f>
        <v/>
      </c>
      <c r="L298" s="230" t="str">
        <f ca="1">IF( ISNA( VLOOKUP( APIF_Import!$O298 &amp; APIF_Import!$L$1,Podesavanja!$AA$3:$AD$28, 4, 0)), "", VLOOKUP( APIF_Import!$C298, INDIRECT( "Lookup_" &amp; APIF_Import!$M298:$O298), VLOOKUP( APIF_Import!$O298 &amp; APIF_Import!$L$1,Podesavanja!$AA$3:$AD$28, 4, 0), 0))</f>
        <v/>
      </c>
      <c r="M298" s="230" t="str">
        <f ca="1">IF( ISNA( VLOOKUP( APIF_Import!$O298 &amp; APIF_Import!$M$1,Podesavanja!$AA$3:$AD$28, 4, 0)), "", VLOOKUP( APIF_Import!$C298, INDIRECT( "Lookup_" &amp; APIF_Import!$M298:$O298), VLOOKUP( APIF_Import!$O298 &amp; APIF_Import!$M$1,Podesavanja!$AA$3:$AD$28, 4, 0), 0))</f>
        <v/>
      </c>
      <c r="N298" s="8">
        <v>299</v>
      </c>
      <c r="O298" s="49" t="s">
        <v>1537</v>
      </c>
    </row>
    <row r="299" spans="2:15">
      <c r="B299" s="44">
        <f ca="1">VLOOKUP( APIF_Import!$O299, Podesavanja!$N$3:$Q$9, 4, 0)</f>
        <v>5</v>
      </c>
      <c r="C299" s="229">
        <f ca="1">VLOOKUP( APIF_Import!$N299, Aop!$A$2:$P$456, 4, 0)</f>
        <v>517</v>
      </c>
      <c r="D299" s="230" t="str">
        <f ca="1">IF( ISNA( VLOOKUP( APIF_Import!$O299 &amp; APIF_Import!$D$1,Podesavanja!$AA$3:$AD$28, 4, 0)), "", SUBSTITUTE( VALUE( VLOOKUP( APIF_Import!$C299, INDIRECT( "Lookup_" &amp; APIF_Import!$O299), VLOOKUP( APIF_Import!$O299 &amp; APIF_Import!$D$1,Podesavanja!$AA$3:$AD$28, 4, 0), 0)), ".", ","))</f>
        <v>0</v>
      </c>
      <c r="E299" s="230">
        <f ca="1">IF( ISNA( VLOOKUP( APIF_Import!$O299 &amp; APIF_Import!$E$1,Podesavanja!$AA$3:$AD$28, 4, 0)), "", VLOOKUP( APIF_Import!$C299, INDIRECT( "Lookup_" &amp; APIF_Import!$O299), VLOOKUP( APIF_Import!$O299 &amp; APIF_Import!$E$1,Podesavanja!$AA$3:$AD$28, 4, 0), 0))</f>
        <v>0</v>
      </c>
      <c r="F299" s="230" t="str">
        <f ca="1">IF( ISNA( VLOOKUP( APIF_Import!$O299 &amp; APIF_Import!$F$1,Podesavanja!$AA$3:$AD$28, 4, 0)), "", VLOOKUP( APIF_Import!$C299, INDIRECT( "Lookup_" &amp; APIF_Import!$O299), VLOOKUP( APIF_Import!$O299 &amp; APIF_Import!$F$1,Podesavanja!$AA$3:$AD$28, 4, 0), 0))</f>
        <v/>
      </c>
      <c r="G299" s="230" t="str">
        <f ca="1">IF( ISNA( VLOOKUP( APIF_Import!$O299 &amp; APIF_Import!$G$1,Podesavanja!$AA$3:$AD$28, 4, 0)), "", VLOOKUP( APIF_Import!$C299, INDIRECT( "Lookup_" &amp; APIF_Import!$O299), VLOOKUP( APIF_Import!$O299 &amp; APIF_Import!$G$1,Podesavanja!$AA$3:$AD$28, 4, 0), 0))</f>
        <v/>
      </c>
      <c r="H299" s="230" t="str">
        <f ca="1">IF( ISNA( VLOOKUP( APIF_Import!$O299 &amp; APIF_Import!$H$1,Podesavanja!$AA$3:$AD$28, 4, 0)), "", VLOOKUP( APIF_Import!$C299, INDIRECT( "Lookup_" &amp; APIF_Import!$O299), VLOOKUP( APIF_Import!$O299 &amp; APIF_Import!$H$1,Podesavanja!$AA$3:$AD$28, 4, 0), 0))</f>
        <v/>
      </c>
      <c r="I299" s="230" t="str">
        <f ca="1">IF( ISNA( VLOOKUP( APIF_Import!$O299 &amp; APIF_Import!$I$1,Podesavanja!$AA$3:$AD$28, 4, 0)), "", VLOOKUP( APIF_Import!$C299, INDIRECT( "Lookup_" &amp; APIF_Import!$M299:$O299), VLOOKUP( APIF_Import!$O299 &amp; APIF_Import!$I$1,Podesavanja!$AA$3:$AD$28, 4, 0), 0))</f>
        <v/>
      </c>
      <c r="J299" s="230" t="str">
        <f ca="1">IF( ISNA( VLOOKUP( APIF_Import!$O299 &amp; APIF_Import!$J$1,Podesavanja!$AA$3:$AD$28, 4, 0)), "", VLOOKUP( APIF_Import!$C299, INDIRECT( "Lookup_" &amp; APIF_Import!$M299:$O299), VLOOKUP( APIF_Import!$O299 &amp; APIF_Import!$J$1,Podesavanja!$AA$3:$AD$28, 4, 0), 0))</f>
        <v/>
      </c>
      <c r="K299" s="230" t="str">
        <f ca="1">IF( ISNA( VLOOKUP( APIF_Import!$O299 &amp; APIF_Import!$K$1,Podesavanja!$AA$3:$AD$28, 4, 0)), "", VLOOKUP( APIF_Import!$C299, INDIRECT( "Lookup_" &amp; APIF_Import!$M299:$O299), VLOOKUP( APIF_Import!$O299 &amp; APIF_Import!$K$1,Podesavanja!$AA$3:$AD$28, 4, 0), 0))</f>
        <v/>
      </c>
      <c r="L299" s="230" t="str">
        <f ca="1">IF( ISNA( VLOOKUP( APIF_Import!$O299 &amp; APIF_Import!$L$1,Podesavanja!$AA$3:$AD$28, 4, 0)), "", VLOOKUP( APIF_Import!$C299, INDIRECT( "Lookup_" &amp; APIF_Import!$M299:$O299), VLOOKUP( APIF_Import!$O299 &amp; APIF_Import!$L$1,Podesavanja!$AA$3:$AD$28, 4, 0), 0))</f>
        <v/>
      </c>
      <c r="M299" s="230" t="str">
        <f ca="1">IF( ISNA( VLOOKUP( APIF_Import!$O299 &amp; APIF_Import!$M$1,Podesavanja!$AA$3:$AD$28, 4, 0)), "", VLOOKUP( APIF_Import!$C299, INDIRECT( "Lookup_" &amp; APIF_Import!$M299:$O299), VLOOKUP( APIF_Import!$O299 &amp; APIF_Import!$M$1,Podesavanja!$AA$3:$AD$28, 4, 0), 0))</f>
        <v/>
      </c>
      <c r="N299" s="8">
        <v>300</v>
      </c>
      <c r="O299" s="49" t="s">
        <v>1537</v>
      </c>
    </row>
    <row r="300" spans="2:15">
      <c r="B300" s="44">
        <f ca="1">VLOOKUP( APIF_Import!$O300, Podesavanja!$N$3:$Q$9, 4, 0)</f>
        <v>5</v>
      </c>
      <c r="C300" s="229">
        <f ca="1">VLOOKUP( APIF_Import!$N300, Aop!$A$2:$P$456, 4, 0)</f>
        <v>518</v>
      </c>
      <c r="D300" s="230" t="str">
        <f ca="1">IF( ISNA( VLOOKUP( APIF_Import!$O300 &amp; APIF_Import!$D$1,Podesavanja!$AA$3:$AD$28, 4, 0)), "", SUBSTITUTE( VALUE( VLOOKUP( APIF_Import!$C300, INDIRECT( "Lookup_" &amp; APIF_Import!$O300), VLOOKUP( APIF_Import!$O300 &amp; APIF_Import!$D$1,Podesavanja!$AA$3:$AD$28, 4, 0), 0)), ".", ","))</f>
        <v>0</v>
      </c>
      <c r="E300" s="230">
        <f ca="1">IF( ISNA( VLOOKUP( APIF_Import!$O300 &amp; APIF_Import!$E$1,Podesavanja!$AA$3:$AD$28, 4, 0)), "", VLOOKUP( APIF_Import!$C300, INDIRECT( "Lookup_" &amp; APIF_Import!$O300), VLOOKUP( APIF_Import!$O300 &amp; APIF_Import!$E$1,Podesavanja!$AA$3:$AD$28, 4, 0), 0))</f>
        <v>0</v>
      </c>
      <c r="F300" s="230" t="str">
        <f ca="1">IF( ISNA( VLOOKUP( APIF_Import!$O300 &amp; APIF_Import!$F$1,Podesavanja!$AA$3:$AD$28, 4, 0)), "", VLOOKUP( APIF_Import!$C300, INDIRECT( "Lookup_" &amp; APIF_Import!$O300), VLOOKUP( APIF_Import!$O300 &amp; APIF_Import!$F$1,Podesavanja!$AA$3:$AD$28, 4, 0), 0))</f>
        <v/>
      </c>
      <c r="G300" s="230" t="str">
        <f ca="1">IF( ISNA( VLOOKUP( APIF_Import!$O300 &amp; APIF_Import!$G$1,Podesavanja!$AA$3:$AD$28, 4, 0)), "", VLOOKUP( APIF_Import!$C300, INDIRECT( "Lookup_" &amp; APIF_Import!$O300), VLOOKUP( APIF_Import!$O300 &amp; APIF_Import!$G$1,Podesavanja!$AA$3:$AD$28, 4, 0), 0))</f>
        <v/>
      </c>
      <c r="H300" s="230" t="str">
        <f ca="1">IF( ISNA( VLOOKUP( APIF_Import!$O300 &amp; APIF_Import!$H$1,Podesavanja!$AA$3:$AD$28, 4, 0)), "", VLOOKUP( APIF_Import!$C300, INDIRECT( "Lookup_" &amp; APIF_Import!$O300), VLOOKUP( APIF_Import!$O300 &amp; APIF_Import!$H$1,Podesavanja!$AA$3:$AD$28, 4, 0), 0))</f>
        <v/>
      </c>
      <c r="I300" s="230" t="str">
        <f ca="1">IF( ISNA( VLOOKUP( APIF_Import!$O300 &amp; APIF_Import!$I$1,Podesavanja!$AA$3:$AD$28, 4, 0)), "", VLOOKUP( APIF_Import!$C300, INDIRECT( "Lookup_" &amp; APIF_Import!$M300:$O300), VLOOKUP( APIF_Import!$O300 &amp; APIF_Import!$I$1,Podesavanja!$AA$3:$AD$28, 4, 0), 0))</f>
        <v/>
      </c>
      <c r="J300" s="230" t="str">
        <f ca="1">IF( ISNA( VLOOKUP( APIF_Import!$O300 &amp; APIF_Import!$J$1,Podesavanja!$AA$3:$AD$28, 4, 0)), "", VLOOKUP( APIF_Import!$C300, INDIRECT( "Lookup_" &amp; APIF_Import!$M300:$O300), VLOOKUP( APIF_Import!$O300 &amp; APIF_Import!$J$1,Podesavanja!$AA$3:$AD$28, 4, 0), 0))</f>
        <v/>
      </c>
      <c r="K300" s="230" t="str">
        <f ca="1">IF( ISNA( VLOOKUP( APIF_Import!$O300 &amp; APIF_Import!$K$1,Podesavanja!$AA$3:$AD$28, 4, 0)), "", VLOOKUP( APIF_Import!$C300, INDIRECT( "Lookup_" &amp; APIF_Import!$M300:$O300), VLOOKUP( APIF_Import!$O300 &amp; APIF_Import!$K$1,Podesavanja!$AA$3:$AD$28, 4, 0), 0))</f>
        <v/>
      </c>
      <c r="L300" s="230" t="str">
        <f ca="1">IF( ISNA( VLOOKUP( APIF_Import!$O300 &amp; APIF_Import!$L$1,Podesavanja!$AA$3:$AD$28, 4, 0)), "", VLOOKUP( APIF_Import!$C300, INDIRECT( "Lookup_" &amp; APIF_Import!$M300:$O300), VLOOKUP( APIF_Import!$O300 &amp; APIF_Import!$L$1,Podesavanja!$AA$3:$AD$28, 4, 0), 0))</f>
        <v/>
      </c>
      <c r="M300" s="230" t="str">
        <f ca="1">IF( ISNA( VLOOKUP( APIF_Import!$O300 &amp; APIF_Import!$M$1,Podesavanja!$AA$3:$AD$28, 4, 0)), "", VLOOKUP( APIF_Import!$C300, INDIRECT( "Lookup_" &amp; APIF_Import!$M300:$O300), VLOOKUP( APIF_Import!$O300 &amp; APIF_Import!$M$1,Podesavanja!$AA$3:$AD$28, 4, 0), 0))</f>
        <v/>
      </c>
      <c r="N300" s="8">
        <v>301</v>
      </c>
      <c r="O300" s="49" t="s">
        <v>1537</v>
      </c>
    </row>
    <row r="301" spans="2:15">
      <c r="B301" s="44">
        <f ca="1">VLOOKUP( APIF_Import!$O301, Podesavanja!$N$3:$Q$9, 4, 0)</f>
        <v>5</v>
      </c>
      <c r="C301" s="229">
        <f ca="1">VLOOKUP( APIF_Import!$N301, Aop!$A$2:$P$456, 4, 0)</f>
        <v>519</v>
      </c>
      <c r="D301" s="230" t="str">
        <f ca="1">IF( ISNA( VLOOKUP( APIF_Import!$O301 &amp; APIF_Import!$D$1,Podesavanja!$AA$3:$AD$28, 4, 0)), "", SUBSTITUTE( VALUE( VLOOKUP( APIF_Import!$C301, INDIRECT( "Lookup_" &amp; APIF_Import!$O301), VLOOKUP( APIF_Import!$O301 &amp; APIF_Import!$D$1,Podesavanja!$AA$3:$AD$28, 4, 0), 0)), ".", ","))</f>
        <v>0</v>
      </c>
      <c r="E301" s="230">
        <f ca="1">IF( ISNA( VLOOKUP( APIF_Import!$O301 &amp; APIF_Import!$E$1,Podesavanja!$AA$3:$AD$28, 4, 0)), "", VLOOKUP( APIF_Import!$C301, INDIRECT( "Lookup_" &amp; APIF_Import!$O301), VLOOKUP( APIF_Import!$O301 &amp; APIF_Import!$E$1,Podesavanja!$AA$3:$AD$28, 4, 0), 0))</f>
        <v>0</v>
      </c>
      <c r="F301" s="230" t="str">
        <f ca="1">IF( ISNA( VLOOKUP( APIF_Import!$O301 &amp; APIF_Import!$F$1,Podesavanja!$AA$3:$AD$28, 4, 0)), "", VLOOKUP( APIF_Import!$C301, INDIRECT( "Lookup_" &amp; APIF_Import!$O301), VLOOKUP( APIF_Import!$O301 &amp; APIF_Import!$F$1,Podesavanja!$AA$3:$AD$28, 4, 0), 0))</f>
        <v/>
      </c>
      <c r="G301" s="230" t="str">
        <f ca="1">IF( ISNA( VLOOKUP( APIF_Import!$O301 &amp; APIF_Import!$G$1,Podesavanja!$AA$3:$AD$28, 4, 0)), "", VLOOKUP( APIF_Import!$C301, INDIRECT( "Lookup_" &amp; APIF_Import!$O301), VLOOKUP( APIF_Import!$O301 &amp; APIF_Import!$G$1,Podesavanja!$AA$3:$AD$28, 4, 0), 0))</f>
        <v/>
      </c>
      <c r="H301" s="230" t="str">
        <f ca="1">IF( ISNA( VLOOKUP( APIF_Import!$O301 &amp; APIF_Import!$H$1,Podesavanja!$AA$3:$AD$28, 4, 0)), "", VLOOKUP( APIF_Import!$C301, INDIRECT( "Lookup_" &amp; APIF_Import!$O301), VLOOKUP( APIF_Import!$O301 &amp; APIF_Import!$H$1,Podesavanja!$AA$3:$AD$28, 4, 0), 0))</f>
        <v/>
      </c>
      <c r="I301" s="230" t="str">
        <f ca="1">IF( ISNA( VLOOKUP( APIF_Import!$O301 &amp; APIF_Import!$I$1,Podesavanja!$AA$3:$AD$28, 4, 0)), "", VLOOKUP( APIF_Import!$C301, INDIRECT( "Lookup_" &amp; APIF_Import!$M301:$O301), VLOOKUP( APIF_Import!$O301 &amp; APIF_Import!$I$1,Podesavanja!$AA$3:$AD$28, 4, 0), 0))</f>
        <v/>
      </c>
      <c r="J301" s="230" t="str">
        <f ca="1">IF( ISNA( VLOOKUP( APIF_Import!$O301 &amp; APIF_Import!$J$1,Podesavanja!$AA$3:$AD$28, 4, 0)), "", VLOOKUP( APIF_Import!$C301, INDIRECT( "Lookup_" &amp; APIF_Import!$M301:$O301), VLOOKUP( APIF_Import!$O301 &amp; APIF_Import!$J$1,Podesavanja!$AA$3:$AD$28, 4, 0), 0))</f>
        <v/>
      </c>
      <c r="K301" s="230" t="str">
        <f ca="1">IF( ISNA( VLOOKUP( APIF_Import!$O301 &amp; APIF_Import!$K$1,Podesavanja!$AA$3:$AD$28, 4, 0)), "", VLOOKUP( APIF_Import!$C301, INDIRECT( "Lookup_" &amp; APIF_Import!$M301:$O301), VLOOKUP( APIF_Import!$O301 &amp; APIF_Import!$K$1,Podesavanja!$AA$3:$AD$28, 4, 0), 0))</f>
        <v/>
      </c>
      <c r="L301" s="230" t="str">
        <f ca="1">IF( ISNA( VLOOKUP( APIF_Import!$O301 &amp; APIF_Import!$L$1,Podesavanja!$AA$3:$AD$28, 4, 0)), "", VLOOKUP( APIF_Import!$C301, INDIRECT( "Lookup_" &amp; APIF_Import!$M301:$O301), VLOOKUP( APIF_Import!$O301 &amp; APIF_Import!$L$1,Podesavanja!$AA$3:$AD$28, 4, 0), 0))</f>
        <v/>
      </c>
      <c r="M301" s="230" t="str">
        <f ca="1">IF( ISNA( VLOOKUP( APIF_Import!$O301 &amp; APIF_Import!$M$1,Podesavanja!$AA$3:$AD$28, 4, 0)), "", VLOOKUP( APIF_Import!$C301, INDIRECT( "Lookup_" &amp; APIF_Import!$M301:$O301), VLOOKUP( APIF_Import!$O301 &amp; APIF_Import!$M$1,Podesavanja!$AA$3:$AD$28, 4, 0), 0))</f>
        <v/>
      </c>
      <c r="N301" s="8">
        <v>302</v>
      </c>
      <c r="O301" s="49" t="s">
        <v>1537</v>
      </c>
    </row>
    <row r="302" spans="2:15">
      <c r="B302" s="44">
        <f ca="1">VLOOKUP( APIF_Import!$O302, Podesavanja!$N$3:$Q$9, 4, 0)</f>
        <v>5</v>
      </c>
      <c r="C302" s="229">
        <f ca="1">VLOOKUP( APIF_Import!$N302, Aop!$A$2:$P$456, 4, 0)</f>
        <v>520</v>
      </c>
      <c r="D302" s="230" t="str">
        <f ca="1">IF( ISNA( VLOOKUP( APIF_Import!$O302 &amp; APIF_Import!$D$1,Podesavanja!$AA$3:$AD$28, 4, 0)), "", SUBSTITUTE( VALUE( VLOOKUP( APIF_Import!$C302, INDIRECT( "Lookup_" &amp; APIF_Import!$O302), VLOOKUP( APIF_Import!$O302 &amp; APIF_Import!$D$1,Podesavanja!$AA$3:$AD$28, 4, 0), 0)), ".", ","))</f>
        <v>0</v>
      </c>
      <c r="E302" s="230">
        <f ca="1">IF( ISNA( VLOOKUP( APIF_Import!$O302 &amp; APIF_Import!$E$1,Podesavanja!$AA$3:$AD$28, 4, 0)), "", VLOOKUP( APIF_Import!$C302, INDIRECT( "Lookup_" &amp; APIF_Import!$O302), VLOOKUP( APIF_Import!$O302 &amp; APIF_Import!$E$1,Podesavanja!$AA$3:$AD$28, 4, 0), 0))</f>
        <v>0</v>
      </c>
      <c r="F302" s="230" t="str">
        <f ca="1">IF( ISNA( VLOOKUP( APIF_Import!$O302 &amp; APIF_Import!$F$1,Podesavanja!$AA$3:$AD$28, 4, 0)), "", VLOOKUP( APIF_Import!$C302, INDIRECT( "Lookup_" &amp; APIF_Import!$O302), VLOOKUP( APIF_Import!$O302 &amp; APIF_Import!$F$1,Podesavanja!$AA$3:$AD$28, 4, 0), 0))</f>
        <v/>
      </c>
      <c r="G302" s="230" t="str">
        <f ca="1">IF( ISNA( VLOOKUP( APIF_Import!$O302 &amp; APIF_Import!$G$1,Podesavanja!$AA$3:$AD$28, 4, 0)), "", VLOOKUP( APIF_Import!$C302, INDIRECT( "Lookup_" &amp; APIF_Import!$O302), VLOOKUP( APIF_Import!$O302 &amp; APIF_Import!$G$1,Podesavanja!$AA$3:$AD$28, 4, 0), 0))</f>
        <v/>
      </c>
      <c r="H302" s="230" t="str">
        <f ca="1">IF( ISNA( VLOOKUP( APIF_Import!$O302 &amp; APIF_Import!$H$1,Podesavanja!$AA$3:$AD$28, 4, 0)), "", VLOOKUP( APIF_Import!$C302, INDIRECT( "Lookup_" &amp; APIF_Import!$O302), VLOOKUP( APIF_Import!$O302 &amp; APIF_Import!$H$1,Podesavanja!$AA$3:$AD$28, 4, 0), 0))</f>
        <v/>
      </c>
      <c r="I302" s="230" t="str">
        <f ca="1">IF( ISNA( VLOOKUP( APIF_Import!$O302 &amp; APIF_Import!$I$1,Podesavanja!$AA$3:$AD$28, 4, 0)), "", VLOOKUP( APIF_Import!$C302, INDIRECT( "Lookup_" &amp; APIF_Import!$M302:$O302), VLOOKUP( APIF_Import!$O302 &amp; APIF_Import!$I$1,Podesavanja!$AA$3:$AD$28, 4, 0), 0))</f>
        <v/>
      </c>
      <c r="J302" s="230" t="str">
        <f ca="1">IF( ISNA( VLOOKUP( APIF_Import!$O302 &amp; APIF_Import!$J$1,Podesavanja!$AA$3:$AD$28, 4, 0)), "", VLOOKUP( APIF_Import!$C302, INDIRECT( "Lookup_" &amp; APIF_Import!$M302:$O302), VLOOKUP( APIF_Import!$O302 &amp; APIF_Import!$J$1,Podesavanja!$AA$3:$AD$28, 4, 0), 0))</f>
        <v/>
      </c>
      <c r="K302" s="230" t="str">
        <f ca="1">IF( ISNA( VLOOKUP( APIF_Import!$O302 &amp; APIF_Import!$K$1,Podesavanja!$AA$3:$AD$28, 4, 0)), "", VLOOKUP( APIF_Import!$C302, INDIRECT( "Lookup_" &amp; APIF_Import!$M302:$O302), VLOOKUP( APIF_Import!$O302 &amp; APIF_Import!$K$1,Podesavanja!$AA$3:$AD$28, 4, 0), 0))</f>
        <v/>
      </c>
      <c r="L302" s="230" t="str">
        <f ca="1">IF( ISNA( VLOOKUP( APIF_Import!$O302 &amp; APIF_Import!$L$1,Podesavanja!$AA$3:$AD$28, 4, 0)), "", VLOOKUP( APIF_Import!$C302, INDIRECT( "Lookup_" &amp; APIF_Import!$M302:$O302), VLOOKUP( APIF_Import!$O302 &amp; APIF_Import!$L$1,Podesavanja!$AA$3:$AD$28, 4, 0), 0))</f>
        <v/>
      </c>
      <c r="M302" s="230" t="str">
        <f ca="1">IF( ISNA( VLOOKUP( APIF_Import!$O302 &amp; APIF_Import!$M$1,Podesavanja!$AA$3:$AD$28, 4, 0)), "", VLOOKUP( APIF_Import!$C302, INDIRECT( "Lookup_" &amp; APIF_Import!$M302:$O302), VLOOKUP( APIF_Import!$O302 &amp; APIF_Import!$M$1,Podesavanja!$AA$3:$AD$28, 4, 0), 0))</f>
        <v/>
      </c>
      <c r="N302" s="8">
        <v>303</v>
      </c>
      <c r="O302" s="49" t="s">
        <v>1537</v>
      </c>
    </row>
    <row r="303" spans="2:15">
      <c r="B303" s="44">
        <f ca="1">VLOOKUP( APIF_Import!$O303, Podesavanja!$N$3:$Q$9, 4, 0)</f>
        <v>5</v>
      </c>
      <c r="C303" s="229">
        <f ca="1">VLOOKUP( APIF_Import!$N303, Aop!$A$2:$P$456, 4, 0)</f>
        <v>521</v>
      </c>
      <c r="D303" s="230" t="str">
        <f ca="1">IF( ISNA( VLOOKUP( APIF_Import!$O303 &amp; APIF_Import!$D$1,Podesavanja!$AA$3:$AD$28, 4, 0)), "", SUBSTITUTE( VALUE( VLOOKUP( APIF_Import!$C303, INDIRECT( "Lookup_" &amp; APIF_Import!$O303), VLOOKUP( APIF_Import!$O303 &amp; APIF_Import!$D$1,Podesavanja!$AA$3:$AD$28, 4, 0), 0)), ".", ","))</f>
        <v>0</v>
      </c>
      <c r="E303" s="230">
        <f ca="1">IF( ISNA( VLOOKUP( APIF_Import!$O303 &amp; APIF_Import!$E$1,Podesavanja!$AA$3:$AD$28, 4, 0)), "", VLOOKUP( APIF_Import!$C303, INDIRECT( "Lookup_" &amp; APIF_Import!$O303), VLOOKUP( APIF_Import!$O303 &amp; APIF_Import!$E$1,Podesavanja!$AA$3:$AD$28, 4, 0), 0))</f>
        <v>0</v>
      </c>
      <c r="F303" s="230" t="str">
        <f ca="1">IF( ISNA( VLOOKUP( APIF_Import!$O303 &amp; APIF_Import!$F$1,Podesavanja!$AA$3:$AD$28, 4, 0)), "", VLOOKUP( APIF_Import!$C303, INDIRECT( "Lookup_" &amp; APIF_Import!$O303), VLOOKUP( APIF_Import!$O303 &amp; APIF_Import!$F$1,Podesavanja!$AA$3:$AD$28, 4, 0), 0))</f>
        <v/>
      </c>
      <c r="G303" s="230" t="str">
        <f ca="1">IF( ISNA( VLOOKUP( APIF_Import!$O303 &amp; APIF_Import!$G$1,Podesavanja!$AA$3:$AD$28, 4, 0)), "", VLOOKUP( APIF_Import!$C303, INDIRECT( "Lookup_" &amp; APIF_Import!$O303), VLOOKUP( APIF_Import!$O303 &amp; APIF_Import!$G$1,Podesavanja!$AA$3:$AD$28, 4, 0), 0))</f>
        <v/>
      </c>
      <c r="H303" s="230" t="str">
        <f ca="1">IF( ISNA( VLOOKUP( APIF_Import!$O303 &amp; APIF_Import!$H$1,Podesavanja!$AA$3:$AD$28, 4, 0)), "", VLOOKUP( APIF_Import!$C303, INDIRECT( "Lookup_" &amp; APIF_Import!$O303), VLOOKUP( APIF_Import!$O303 &amp; APIF_Import!$H$1,Podesavanja!$AA$3:$AD$28, 4, 0), 0))</f>
        <v/>
      </c>
      <c r="I303" s="230" t="str">
        <f ca="1">IF( ISNA( VLOOKUP( APIF_Import!$O303 &amp; APIF_Import!$I$1,Podesavanja!$AA$3:$AD$28, 4, 0)), "", VLOOKUP( APIF_Import!$C303, INDIRECT( "Lookup_" &amp; APIF_Import!$M303:$O303), VLOOKUP( APIF_Import!$O303 &amp; APIF_Import!$I$1,Podesavanja!$AA$3:$AD$28, 4, 0), 0))</f>
        <v/>
      </c>
      <c r="J303" s="230" t="str">
        <f ca="1">IF( ISNA( VLOOKUP( APIF_Import!$O303 &amp; APIF_Import!$J$1,Podesavanja!$AA$3:$AD$28, 4, 0)), "", VLOOKUP( APIF_Import!$C303, INDIRECT( "Lookup_" &amp; APIF_Import!$M303:$O303), VLOOKUP( APIF_Import!$O303 &amp; APIF_Import!$J$1,Podesavanja!$AA$3:$AD$28, 4, 0), 0))</f>
        <v/>
      </c>
      <c r="K303" s="230" t="str">
        <f ca="1">IF( ISNA( VLOOKUP( APIF_Import!$O303 &amp; APIF_Import!$K$1,Podesavanja!$AA$3:$AD$28, 4, 0)), "", VLOOKUP( APIF_Import!$C303, INDIRECT( "Lookup_" &amp; APIF_Import!$M303:$O303), VLOOKUP( APIF_Import!$O303 &amp; APIF_Import!$K$1,Podesavanja!$AA$3:$AD$28, 4, 0), 0))</f>
        <v/>
      </c>
      <c r="L303" s="230" t="str">
        <f ca="1">IF( ISNA( VLOOKUP( APIF_Import!$O303 &amp; APIF_Import!$L$1,Podesavanja!$AA$3:$AD$28, 4, 0)), "", VLOOKUP( APIF_Import!$C303, INDIRECT( "Lookup_" &amp; APIF_Import!$M303:$O303), VLOOKUP( APIF_Import!$O303 &amp; APIF_Import!$L$1,Podesavanja!$AA$3:$AD$28, 4, 0), 0))</f>
        <v/>
      </c>
      <c r="M303" s="230" t="str">
        <f ca="1">IF( ISNA( VLOOKUP( APIF_Import!$O303 &amp; APIF_Import!$M$1,Podesavanja!$AA$3:$AD$28, 4, 0)), "", VLOOKUP( APIF_Import!$C303, INDIRECT( "Lookup_" &amp; APIF_Import!$M303:$O303), VLOOKUP( APIF_Import!$O303 &amp; APIF_Import!$M$1,Podesavanja!$AA$3:$AD$28, 4, 0), 0))</f>
        <v/>
      </c>
      <c r="N303" s="8">
        <v>304</v>
      </c>
      <c r="O303" s="49" t="s">
        <v>1537</v>
      </c>
    </row>
    <row r="304" spans="2:15">
      <c r="B304" s="44">
        <f ca="1">VLOOKUP( APIF_Import!$O304, Podesavanja!$N$3:$Q$9, 4, 0)</f>
        <v>5</v>
      </c>
      <c r="C304" s="229">
        <f ca="1">VLOOKUP( APIF_Import!$N304, Aop!$A$2:$P$456, 4, 0)</f>
        <v>522</v>
      </c>
      <c r="D304" s="230" t="str">
        <f ca="1">IF( ISNA( VLOOKUP( APIF_Import!$O304 &amp; APIF_Import!$D$1,Podesavanja!$AA$3:$AD$28, 4, 0)), "", SUBSTITUTE( VALUE( VLOOKUP( APIF_Import!$C304, INDIRECT( "Lookup_" &amp; APIF_Import!$O304), VLOOKUP( APIF_Import!$O304 &amp; APIF_Import!$D$1,Podesavanja!$AA$3:$AD$28, 4, 0), 0)), ".", ","))</f>
        <v>0</v>
      </c>
      <c r="E304" s="230">
        <f ca="1">IF( ISNA( VLOOKUP( APIF_Import!$O304 &amp; APIF_Import!$E$1,Podesavanja!$AA$3:$AD$28, 4, 0)), "", VLOOKUP( APIF_Import!$C304, INDIRECT( "Lookup_" &amp; APIF_Import!$O304), VLOOKUP( APIF_Import!$O304 &amp; APIF_Import!$E$1,Podesavanja!$AA$3:$AD$28, 4, 0), 0))</f>
        <v>0</v>
      </c>
      <c r="F304" s="230" t="str">
        <f ca="1">IF( ISNA( VLOOKUP( APIF_Import!$O304 &amp; APIF_Import!$F$1,Podesavanja!$AA$3:$AD$28, 4, 0)), "", VLOOKUP( APIF_Import!$C304, INDIRECT( "Lookup_" &amp; APIF_Import!$O304), VLOOKUP( APIF_Import!$O304 &amp; APIF_Import!$F$1,Podesavanja!$AA$3:$AD$28, 4, 0), 0))</f>
        <v/>
      </c>
      <c r="G304" s="230" t="str">
        <f ca="1">IF( ISNA( VLOOKUP( APIF_Import!$O304 &amp; APIF_Import!$G$1,Podesavanja!$AA$3:$AD$28, 4, 0)), "", VLOOKUP( APIF_Import!$C304, INDIRECT( "Lookup_" &amp; APIF_Import!$O304), VLOOKUP( APIF_Import!$O304 &amp; APIF_Import!$G$1,Podesavanja!$AA$3:$AD$28, 4, 0), 0))</f>
        <v/>
      </c>
      <c r="H304" s="230" t="str">
        <f ca="1">IF( ISNA( VLOOKUP( APIF_Import!$O304 &amp; APIF_Import!$H$1,Podesavanja!$AA$3:$AD$28, 4, 0)), "", VLOOKUP( APIF_Import!$C304, INDIRECT( "Lookup_" &amp; APIF_Import!$O304), VLOOKUP( APIF_Import!$O304 &amp; APIF_Import!$H$1,Podesavanja!$AA$3:$AD$28, 4, 0), 0))</f>
        <v/>
      </c>
      <c r="I304" s="230" t="str">
        <f ca="1">IF( ISNA( VLOOKUP( APIF_Import!$O304 &amp; APIF_Import!$I$1,Podesavanja!$AA$3:$AD$28, 4, 0)), "", VLOOKUP( APIF_Import!$C304, INDIRECT( "Lookup_" &amp; APIF_Import!$M304:$O304), VLOOKUP( APIF_Import!$O304 &amp; APIF_Import!$I$1,Podesavanja!$AA$3:$AD$28, 4, 0), 0))</f>
        <v/>
      </c>
      <c r="J304" s="230" t="str">
        <f ca="1">IF( ISNA( VLOOKUP( APIF_Import!$O304 &amp; APIF_Import!$J$1,Podesavanja!$AA$3:$AD$28, 4, 0)), "", VLOOKUP( APIF_Import!$C304, INDIRECT( "Lookup_" &amp; APIF_Import!$M304:$O304), VLOOKUP( APIF_Import!$O304 &amp; APIF_Import!$J$1,Podesavanja!$AA$3:$AD$28, 4, 0), 0))</f>
        <v/>
      </c>
      <c r="K304" s="230" t="str">
        <f ca="1">IF( ISNA( VLOOKUP( APIF_Import!$O304 &amp; APIF_Import!$K$1,Podesavanja!$AA$3:$AD$28, 4, 0)), "", VLOOKUP( APIF_Import!$C304, INDIRECT( "Lookup_" &amp; APIF_Import!$M304:$O304), VLOOKUP( APIF_Import!$O304 &amp; APIF_Import!$K$1,Podesavanja!$AA$3:$AD$28, 4, 0), 0))</f>
        <v/>
      </c>
      <c r="L304" s="230" t="str">
        <f ca="1">IF( ISNA( VLOOKUP( APIF_Import!$O304 &amp; APIF_Import!$L$1,Podesavanja!$AA$3:$AD$28, 4, 0)), "", VLOOKUP( APIF_Import!$C304, INDIRECT( "Lookup_" &amp; APIF_Import!$M304:$O304), VLOOKUP( APIF_Import!$O304 &amp; APIF_Import!$L$1,Podesavanja!$AA$3:$AD$28, 4, 0), 0))</f>
        <v/>
      </c>
      <c r="M304" s="230" t="str">
        <f ca="1">IF( ISNA( VLOOKUP( APIF_Import!$O304 &amp; APIF_Import!$M$1,Podesavanja!$AA$3:$AD$28, 4, 0)), "", VLOOKUP( APIF_Import!$C304, INDIRECT( "Lookup_" &amp; APIF_Import!$M304:$O304), VLOOKUP( APIF_Import!$O304 &amp; APIF_Import!$M$1,Podesavanja!$AA$3:$AD$28, 4, 0), 0))</f>
        <v/>
      </c>
      <c r="N304" s="8">
        <v>305</v>
      </c>
      <c r="O304" s="49" t="s">
        <v>1537</v>
      </c>
    </row>
    <row r="305" spans="2:15">
      <c r="B305" s="44">
        <f ca="1">VLOOKUP( APIF_Import!$O305, Podesavanja!$N$3:$Q$9, 4, 0)</f>
        <v>5</v>
      </c>
      <c r="C305" s="229">
        <f ca="1">VLOOKUP( APIF_Import!$N305, Aop!$A$2:$P$456, 4, 0)</f>
        <v>523</v>
      </c>
      <c r="D305" s="230" t="str">
        <f ca="1">IF( ISNA( VLOOKUP( APIF_Import!$O305 &amp; APIF_Import!$D$1,Podesavanja!$AA$3:$AD$28, 4, 0)), "", SUBSTITUTE( VALUE( VLOOKUP( APIF_Import!$C305, INDIRECT( "Lookup_" &amp; APIF_Import!$O305), VLOOKUP( APIF_Import!$O305 &amp; APIF_Import!$D$1,Podesavanja!$AA$3:$AD$28, 4, 0), 0)), ".", ","))</f>
        <v>0</v>
      </c>
      <c r="E305" s="230">
        <f ca="1">IF( ISNA( VLOOKUP( APIF_Import!$O305 &amp; APIF_Import!$E$1,Podesavanja!$AA$3:$AD$28, 4, 0)), "", VLOOKUP( APIF_Import!$C305, INDIRECT( "Lookup_" &amp; APIF_Import!$O305), VLOOKUP( APIF_Import!$O305 &amp; APIF_Import!$E$1,Podesavanja!$AA$3:$AD$28, 4, 0), 0))</f>
        <v>0</v>
      </c>
      <c r="F305" s="230" t="str">
        <f ca="1">IF( ISNA( VLOOKUP( APIF_Import!$O305 &amp; APIF_Import!$F$1,Podesavanja!$AA$3:$AD$28, 4, 0)), "", VLOOKUP( APIF_Import!$C305, INDIRECT( "Lookup_" &amp; APIF_Import!$O305), VLOOKUP( APIF_Import!$O305 &amp; APIF_Import!$F$1,Podesavanja!$AA$3:$AD$28, 4, 0), 0))</f>
        <v/>
      </c>
      <c r="G305" s="230" t="str">
        <f ca="1">IF( ISNA( VLOOKUP( APIF_Import!$O305 &amp; APIF_Import!$G$1,Podesavanja!$AA$3:$AD$28, 4, 0)), "", VLOOKUP( APIF_Import!$C305, INDIRECT( "Lookup_" &amp; APIF_Import!$O305), VLOOKUP( APIF_Import!$O305 &amp; APIF_Import!$G$1,Podesavanja!$AA$3:$AD$28, 4, 0), 0))</f>
        <v/>
      </c>
      <c r="H305" s="230" t="str">
        <f ca="1">IF( ISNA( VLOOKUP( APIF_Import!$O305 &amp; APIF_Import!$H$1,Podesavanja!$AA$3:$AD$28, 4, 0)), "", VLOOKUP( APIF_Import!$C305, INDIRECT( "Lookup_" &amp; APIF_Import!$O305), VLOOKUP( APIF_Import!$O305 &amp; APIF_Import!$H$1,Podesavanja!$AA$3:$AD$28, 4, 0), 0))</f>
        <v/>
      </c>
      <c r="I305" s="230" t="str">
        <f ca="1">IF( ISNA( VLOOKUP( APIF_Import!$O305 &amp; APIF_Import!$I$1,Podesavanja!$AA$3:$AD$28, 4, 0)), "", VLOOKUP( APIF_Import!$C305, INDIRECT( "Lookup_" &amp; APIF_Import!$M305:$O305), VLOOKUP( APIF_Import!$O305 &amp; APIF_Import!$I$1,Podesavanja!$AA$3:$AD$28, 4, 0), 0))</f>
        <v/>
      </c>
      <c r="J305" s="230" t="str">
        <f ca="1">IF( ISNA( VLOOKUP( APIF_Import!$O305 &amp; APIF_Import!$J$1,Podesavanja!$AA$3:$AD$28, 4, 0)), "", VLOOKUP( APIF_Import!$C305, INDIRECT( "Lookup_" &amp; APIF_Import!$M305:$O305), VLOOKUP( APIF_Import!$O305 &amp; APIF_Import!$J$1,Podesavanja!$AA$3:$AD$28, 4, 0), 0))</f>
        <v/>
      </c>
      <c r="K305" s="230" t="str">
        <f ca="1">IF( ISNA( VLOOKUP( APIF_Import!$O305 &amp; APIF_Import!$K$1,Podesavanja!$AA$3:$AD$28, 4, 0)), "", VLOOKUP( APIF_Import!$C305, INDIRECT( "Lookup_" &amp; APIF_Import!$M305:$O305), VLOOKUP( APIF_Import!$O305 &amp; APIF_Import!$K$1,Podesavanja!$AA$3:$AD$28, 4, 0), 0))</f>
        <v/>
      </c>
      <c r="L305" s="230" t="str">
        <f ca="1">IF( ISNA( VLOOKUP( APIF_Import!$O305 &amp; APIF_Import!$L$1,Podesavanja!$AA$3:$AD$28, 4, 0)), "", VLOOKUP( APIF_Import!$C305, INDIRECT( "Lookup_" &amp; APIF_Import!$M305:$O305), VLOOKUP( APIF_Import!$O305 &amp; APIF_Import!$L$1,Podesavanja!$AA$3:$AD$28, 4, 0), 0))</f>
        <v/>
      </c>
      <c r="M305" s="230" t="str">
        <f ca="1">IF( ISNA( VLOOKUP( APIF_Import!$O305 &amp; APIF_Import!$M$1,Podesavanja!$AA$3:$AD$28, 4, 0)), "", VLOOKUP( APIF_Import!$C305, INDIRECT( "Lookup_" &amp; APIF_Import!$M305:$O305), VLOOKUP( APIF_Import!$O305 &amp; APIF_Import!$M$1,Podesavanja!$AA$3:$AD$28, 4, 0), 0))</f>
        <v/>
      </c>
      <c r="N305" s="8">
        <v>306</v>
      </c>
      <c r="O305" s="49" t="s">
        <v>1537</v>
      </c>
    </row>
    <row r="306" spans="2:15">
      <c r="B306" s="44">
        <f ca="1">VLOOKUP( APIF_Import!$O306, Podesavanja!$N$3:$Q$9, 4, 0)</f>
        <v>5</v>
      </c>
      <c r="C306" s="229">
        <f ca="1">VLOOKUP( APIF_Import!$N306, Aop!$A$2:$P$456, 4, 0)</f>
        <v>524</v>
      </c>
      <c r="D306" s="230" t="str">
        <f ca="1">IF( ISNA( VLOOKUP( APIF_Import!$O306 &amp; APIF_Import!$D$1,Podesavanja!$AA$3:$AD$28, 4, 0)), "", SUBSTITUTE( VALUE( VLOOKUP( APIF_Import!$C306, INDIRECT( "Lookup_" &amp; APIF_Import!$O306), VLOOKUP( APIF_Import!$O306 &amp; APIF_Import!$D$1,Podesavanja!$AA$3:$AD$28, 4, 0), 0)), ".", ","))</f>
        <v>0</v>
      </c>
      <c r="E306" s="230">
        <f ca="1">IF( ISNA( VLOOKUP( APIF_Import!$O306 &amp; APIF_Import!$E$1,Podesavanja!$AA$3:$AD$28, 4, 0)), "", VLOOKUP( APIF_Import!$C306, INDIRECT( "Lookup_" &amp; APIF_Import!$O306), VLOOKUP( APIF_Import!$O306 &amp; APIF_Import!$E$1,Podesavanja!$AA$3:$AD$28, 4, 0), 0))</f>
        <v>0</v>
      </c>
      <c r="F306" s="230" t="str">
        <f ca="1">IF( ISNA( VLOOKUP( APIF_Import!$O306 &amp; APIF_Import!$F$1,Podesavanja!$AA$3:$AD$28, 4, 0)), "", VLOOKUP( APIF_Import!$C306, INDIRECT( "Lookup_" &amp; APIF_Import!$O306), VLOOKUP( APIF_Import!$O306 &amp; APIF_Import!$F$1,Podesavanja!$AA$3:$AD$28, 4, 0), 0))</f>
        <v/>
      </c>
      <c r="G306" s="230" t="str">
        <f ca="1">IF( ISNA( VLOOKUP( APIF_Import!$O306 &amp; APIF_Import!$G$1,Podesavanja!$AA$3:$AD$28, 4, 0)), "", VLOOKUP( APIF_Import!$C306, INDIRECT( "Lookup_" &amp; APIF_Import!$O306), VLOOKUP( APIF_Import!$O306 &amp; APIF_Import!$G$1,Podesavanja!$AA$3:$AD$28, 4, 0), 0))</f>
        <v/>
      </c>
      <c r="H306" s="230" t="str">
        <f ca="1">IF( ISNA( VLOOKUP( APIF_Import!$O306 &amp; APIF_Import!$H$1,Podesavanja!$AA$3:$AD$28, 4, 0)), "", VLOOKUP( APIF_Import!$C306, INDIRECT( "Lookup_" &amp; APIF_Import!$O306), VLOOKUP( APIF_Import!$O306 &amp; APIF_Import!$H$1,Podesavanja!$AA$3:$AD$28, 4, 0), 0))</f>
        <v/>
      </c>
      <c r="I306" s="230" t="str">
        <f ca="1">IF( ISNA( VLOOKUP( APIF_Import!$O306 &amp; APIF_Import!$I$1,Podesavanja!$AA$3:$AD$28, 4, 0)), "", VLOOKUP( APIF_Import!$C306, INDIRECT( "Lookup_" &amp; APIF_Import!$M306:$O306), VLOOKUP( APIF_Import!$O306 &amp; APIF_Import!$I$1,Podesavanja!$AA$3:$AD$28, 4, 0), 0))</f>
        <v/>
      </c>
      <c r="J306" s="230" t="str">
        <f ca="1">IF( ISNA( VLOOKUP( APIF_Import!$O306 &amp; APIF_Import!$J$1,Podesavanja!$AA$3:$AD$28, 4, 0)), "", VLOOKUP( APIF_Import!$C306, INDIRECT( "Lookup_" &amp; APIF_Import!$M306:$O306), VLOOKUP( APIF_Import!$O306 &amp; APIF_Import!$J$1,Podesavanja!$AA$3:$AD$28, 4, 0), 0))</f>
        <v/>
      </c>
      <c r="K306" s="230" t="str">
        <f ca="1">IF( ISNA( VLOOKUP( APIF_Import!$O306 &amp; APIF_Import!$K$1,Podesavanja!$AA$3:$AD$28, 4, 0)), "", VLOOKUP( APIF_Import!$C306, INDIRECT( "Lookup_" &amp; APIF_Import!$M306:$O306), VLOOKUP( APIF_Import!$O306 &amp; APIF_Import!$K$1,Podesavanja!$AA$3:$AD$28, 4, 0), 0))</f>
        <v/>
      </c>
      <c r="L306" s="230" t="str">
        <f ca="1">IF( ISNA( VLOOKUP( APIF_Import!$O306 &amp; APIF_Import!$L$1,Podesavanja!$AA$3:$AD$28, 4, 0)), "", VLOOKUP( APIF_Import!$C306, INDIRECT( "Lookup_" &amp; APIF_Import!$M306:$O306), VLOOKUP( APIF_Import!$O306 &amp; APIF_Import!$L$1,Podesavanja!$AA$3:$AD$28, 4, 0), 0))</f>
        <v/>
      </c>
      <c r="M306" s="230" t="str">
        <f ca="1">IF( ISNA( VLOOKUP( APIF_Import!$O306 &amp; APIF_Import!$M$1,Podesavanja!$AA$3:$AD$28, 4, 0)), "", VLOOKUP( APIF_Import!$C306, INDIRECT( "Lookup_" &amp; APIF_Import!$M306:$O306), VLOOKUP( APIF_Import!$O306 &amp; APIF_Import!$M$1,Podesavanja!$AA$3:$AD$28, 4, 0), 0))</f>
        <v/>
      </c>
      <c r="N306" s="8">
        <v>307</v>
      </c>
      <c r="O306" s="49" t="s">
        <v>1537</v>
      </c>
    </row>
    <row r="307" spans="2:15">
      <c r="B307" s="44">
        <f ca="1">VLOOKUP( APIF_Import!$O307, Podesavanja!$N$3:$Q$9, 4, 0)</f>
        <v>5</v>
      </c>
      <c r="C307" s="229">
        <f ca="1">VLOOKUP( APIF_Import!$N307, Aop!$A$2:$P$456, 4, 0)</f>
        <v>525</v>
      </c>
      <c r="D307" s="230" t="str">
        <f ca="1">IF( ISNA( VLOOKUP( APIF_Import!$O307 &amp; APIF_Import!$D$1,Podesavanja!$AA$3:$AD$28, 4, 0)), "", SUBSTITUTE( VALUE( VLOOKUP( APIF_Import!$C307, INDIRECT( "Lookup_" &amp; APIF_Import!$O307), VLOOKUP( APIF_Import!$O307 &amp; APIF_Import!$D$1,Podesavanja!$AA$3:$AD$28, 4, 0), 0)), ".", ","))</f>
        <v>0</v>
      </c>
      <c r="E307" s="230">
        <f ca="1">IF( ISNA( VLOOKUP( APIF_Import!$O307 &amp; APIF_Import!$E$1,Podesavanja!$AA$3:$AD$28, 4, 0)), "", VLOOKUP( APIF_Import!$C307, INDIRECT( "Lookup_" &amp; APIF_Import!$O307), VLOOKUP( APIF_Import!$O307 &amp; APIF_Import!$E$1,Podesavanja!$AA$3:$AD$28, 4, 0), 0))</f>
        <v>0</v>
      </c>
      <c r="F307" s="230" t="str">
        <f ca="1">IF( ISNA( VLOOKUP( APIF_Import!$O307 &amp; APIF_Import!$F$1,Podesavanja!$AA$3:$AD$28, 4, 0)), "", VLOOKUP( APIF_Import!$C307, INDIRECT( "Lookup_" &amp; APIF_Import!$O307), VLOOKUP( APIF_Import!$O307 &amp; APIF_Import!$F$1,Podesavanja!$AA$3:$AD$28, 4, 0), 0))</f>
        <v/>
      </c>
      <c r="G307" s="230" t="str">
        <f ca="1">IF( ISNA( VLOOKUP( APIF_Import!$O307 &amp; APIF_Import!$G$1,Podesavanja!$AA$3:$AD$28, 4, 0)), "", VLOOKUP( APIF_Import!$C307, INDIRECT( "Lookup_" &amp; APIF_Import!$O307), VLOOKUP( APIF_Import!$O307 &amp; APIF_Import!$G$1,Podesavanja!$AA$3:$AD$28, 4, 0), 0))</f>
        <v/>
      </c>
      <c r="H307" s="230" t="str">
        <f ca="1">IF( ISNA( VLOOKUP( APIF_Import!$O307 &amp; APIF_Import!$H$1,Podesavanja!$AA$3:$AD$28, 4, 0)), "", VLOOKUP( APIF_Import!$C307, INDIRECT( "Lookup_" &amp; APIF_Import!$O307), VLOOKUP( APIF_Import!$O307 &amp; APIF_Import!$H$1,Podesavanja!$AA$3:$AD$28, 4, 0), 0))</f>
        <v/>
      </c>
      <c r="I307" s="230" t="str">
        <f ca="1">IF( ISNA( VLOOKUP( APIF_Import!$O307 &amp; APIF_Import!$I$1,Podesavanja!$AA$3:$AD$28, 4, 0)), "", VLOOKUP( APIF_Import!$C307, INDIRECT( "Lookup_" &amp; APIF_Import!$M307:$O307), VLOOKUP( APIF_Import!$O307 &amp; APIF_Import!$I$1,Podesavanja!$AA$3:$AD$28, 4, 0), 0))</f>
        <v/>
      </c>
      <c r="J307" s="230" t="str">
        <f ca="1">IF( ISNA( VLOOKUP( APIF_Import!$O307 &amp; APIF_Import!$J$1,Podesavanja!$AA$3:$AD$28, 4, 0)), "", VLOOKUP( APIF_Import!$C307, INDIRECT( "Lookup_" &amp; APIF_Import!$M307:$O307), VLOOKUP( APIF_Import!$O307 &amp; APIF_Import!$J$1,Podesavanja!$AA$3:$AD$28, 4, 0), 0))</f>
        <v/>
      </c>
      <c r="K307" s="230" t="str">
        <f ca="1">IF( ISNA( VLOOKUP( APIF_Import!$O307 &amp; APIF_Import!$K$1,Podesavanja!$AA$3:$AD$28, 4, 0)), "", VLOOKUP( APIF_Import!$C307, INDIRECT( "Lookup_" &amp; APIF_Import!$M307:$O307), VLOOKUP( APIF_Import!$O307 &amp; APIF_Import!$K$1,Podesavanja!$AA$3:$AD$28, 4, 0), 0))</f>
        <v/>
      </c>
      <c r="L307" s="230" t="str">
        <f ca="1">IF( ISNA( VLOOKUP( APIF_Import!$O307 &amp; APIF_Import!$L$1,Podesavanja!$AA$3:$AD$28, 4, 0)), "", VLOOKUP( APIF_Import!$C307, INDIRECT( "Lookup_" &amp; APIF_Import!$M307:$O307), VLOOKUP( APIF_Import!$O307 &amp; APIF_Import!$L$1,Podesavanja!$AA$3:$AD$28, 4, 0), 0))</f>
        <v/>
      </c>
      <c r="M307" s="230" t="str">
        <f ca="1">IF( ISNA( VLOOKUP( APIF_Import!$O307 &amp; APIF_Import!$M$1,Podesavanja!$AA$3:$AD$28, 4, 0)), "", VLOOKUP( APIF_Import!$C307, INDIRECT( "Lookup_" &amp; APIF_Import!$M307:$O307), VLOOKUP( APIF_Import!$O307 &amp; APIF_Import!$M$1,Podesavanja!$AA$3:$AD$28, 4, 0), 0))</f>
        <v/>
      </c>
      <c r="N307" s="8">
        <v>308</v>
      </c>
      <c r="O307" s="49" t="s">
        <v>1537</v>
      </c>
    </row>
    <row r="308" spans="2:15">
      <c r="B308" s="44">
        <f ca="1">VLOOKUP( APIF_Import!$O308, Podesavanja!$N$3:$Q$9, 4, 0)</f>
        <v>5</v>
      </c>
      <c r="C308" s="229">
        <f ca="1">VLOOKUP( APIF_Import!$N308, Aop!$A$2:$P$456, 4, 0)</f>
        <v>526</v>
      </c>
      <c r="D308" s="230" t="str">
        <f ca="1">IF( ISNA( VLOOKUP( APIF_Import!$O308 &amp; APIF_Import!$D$1,Podesavanja!$AA$3:$AD$28, 4, 0)), "", SUBSTITUTE( VALUE( VLOOKUP( APIF_Import!$C308, INDIRECT( "Lookup_" &amp; APIF_Import!$O308), VLOOKUP( APIF_Import!$O308 &amp; APIF_Import!$D$1,Podesavanja!$AA$3:$AD$28, 4, 0), 0)), ".", ","))</f>
        <v>0</v>
      </c>
      <c r="E308" s="230">
        <f ca="1">IF( ISNA( VLOOKUP( APIF_Import!$O308 &amp; APIF_Import!$E$1,Podesavanja!$AA$3:$AD$28, 4, 0)), "", VLOOKUP( APIF_Import!$C308, INDIRECT( "Lookup_" &amp; APIF_Import!$O308), VLOOKUP( APIF_Import!$O308 &amp; APIF_Import!$E$1,Podesavanja!$AA$3:$AD$28, 4, 0), 0))</f>
        <v>0</v>
      </c>
      <c r="F308" s="230" t="str">
        <f ca="1">IF( ISNA( VLOOKUP( APIF_Import!$O308 &amp; APIF_Import!$F$1,Podesavanja!$AA$3:$AD$28, 4, 0)), "", VLOOKUP( APIF_Import!$C308, INDIRECT( "Lookup_" &amp; APIF_Import!$O308), VLOOKUP( APIF_Import!$O308 &amp; APIF_Import!$F$1,Podesavanja!$AA$3:$AD$28, 4, 0), 0))</f>
        <v/>
      </c>
      <c r="G308" s="230" t="str">
        <f ca="1">IF( ISNA( VLOOKUP( APIF_Import!$O308 &amp; APIF_Import!$G$1,Podesavanja!$AA$3:$AD$28, 4, 0)), "", VLOOKUP( APIF_Import!$C308, INDIRECT( "Lookup_" &amp; APIF_Import!$O308), VLOOKUP( APIF_Import!$O308 &amp; APIF_Import!$G$1,Podesavanja!$AA$3:$AD$28, 4, 0), 0))</f>
        <v/>
      </c>
      <c r="H308" s="230" t="str">
        <f ca="1">IF( ISNA( VLOOKUP( APIF_Import!$O308 &amp; APIF_Import!$H$1,Podesavanja!$AA$3:$AD$28, 4, 0)), "", VLOOKUP( APIF_Import!$C308, INDIRECT( "Lookup_" &amp; APIF_Import!$O308), VLOOKUP( APIF_Import!$O308 &amp; APIF_Import!$H$1,Podesavanja!$AA$3:$AD$28, 4, 0), 0))</f>
        <v/>
      </c>
      <c r="I308" s="230" t="str">
        <f ca="1">IF( ISNA( VLOOKUP( APIF_Import!$O308 &amp; APIF_Import!$I$1,Podesavanja!$AA$3:$AD$28, 4, 0)), "", VLOOKUP( APIF_Import!$C308, INDIRECT( "Lookup_" &amp; APIF_Import!$M308:$O308), VLOOKUP( APIF_Import!$O308 &amp; APIF_Import!$I$1,Podesavanja!$AA$3:$AD$28, 4, 0), 0))</f>
        <v/>
      </c>
      <c r="J308" s="230" t="str">
        <f ca="1">IF( ISNA( VLOOKUP( APIF_Import!$O308 &amp; APIF_Import!$J$1,Podesavanja!$AA$3:$AD$28, 4, 0)), "", VLOOKUP( APIF_Import!$C308, INDIRECT( "Lookup_" &amp; APIF_Import!$M308:$O308), VLOOKUP( APIF_Import!$O308 &amp; APIF_Import!$J$1,Podesavanja!$AA$3:$AD$28, 4, 0), 0))</f>
        <v/>
      </c>
      <c r="K308" s="230" t="str">
        <f ca="1">IF( ISNA( VLOOKUP( APIF_Import!$O308 &amp; APIF_Import!$K$1,Podesavanja!$AA$3:$AD$28, 4, 0)), "", VLOOKUP( APIF_Import!$C308, INDIRECT( "Lookup_" &amp; APIF_Import!$M308:$O308), VLOOKUP( APIF_Import!$O308 &amp; APIF_Import!$K$1,Podesavanja!$AA$3:$AD$28, 4, 0), 0))</f>
        <v/>
      </c>
      <c r="L308" s="230" t="str">
        <f ca="1">IF( ISNA( VLOOKUP( APIF_Import!$O308 &amp; APIF_Import!$L$1,Podesavanja!$AA$3:$AD$28, 4, 0)), "", VLOOKUP( APIF_Import!$C308, INDIRECT( "Lookup_" &amp; APIF_Import!$M308:$O308), VLOOKUP( APIF_Import!$O308 &amp; APIF_Import!$L$1,Podesavanja!$AA$3:$AD$28, 4, 0), 0))</f>
        <v/>
      </c>
      <c r="M308" s="230" t="str">
        <f ca="1">IF( ISNA( VLOOKUP( APIF_Import!$O308 &amp; APIF_Import!$M$1,Podesavanja!$AA$3:$AD$28, 4, 0)), "", VLOOKUP( APIF_Import!$C308, INDIRECT( "Lookup_" &amp; APIF_Import!$M308:$O308), VLOOKUP( APIF_Import!$O308 &amp; APIF_Import!$M$1,Podesavanja!$AA$3:$AD$28, 4, 0), 0))</f>
        <v/>
      </c>
      <c r="N308" s="8">
        <v>309</v>
      </c>
      <c r="O308" s="49" t="s">
        <v>1537</v>
      </c>
    </row>
    <row r="309" spans="2:15">
      <c r="B309" s="44">
        <f ca="1">VLOOKUP( APIF_Import!$O309, Podesavanja!$N$3:$Q$9, 4, 0)</f>
        <v>5</v>
      </c>
      <c r="C309" s="229">
        <f ca="1">VLOOKUP( APIF_Import!$N309, Aop!$A$2:$P$456, 4, 0)</f>
        <v>527</v>
      </c>
      <c r="D309" s="230" t="str">
        <f ca="1">IF( ISNA( VLOOKUP( APIF_Import!$O309 &amp; APIF_Import!$D$1,Podesavanja!$AA$3:$AD$28, 4, 0)), "", SUBSTITUTE( VALUE( VLOOKUP( APIF_Import!$C309, INDIRECT( "Lookup_" &amp; APIF_Import!$O309), VLOOKUP( APIF_Import!$O309 &amp; APIF_Import!$D$1,Podesavanja!$AA$3:$AD$28, 4, 0), 0)), ".", ","))</f>
        <v>0</v>
      </c>
      <c r="E309" s="230">
        <f ca="1">IF( ISNA( VLOOKUP( APIF_Import!$O309 &amp; APIF_Import!$E$1,Podesavanja!$AA$3:$AD$28, 4, 0)), "", VLOOKUP( APIF_Import!$C309, INDIRECT( "Lookup_" &amp; APIF_Import!$O309), VLOOKUP( APIF_Import!$O309 &amp; APIF_Import!$E$1,Podesavanja!$AA$3:$AD$28, 4, 0), 0))</f>
        <v>0</v>
      </c>
      <c r="F309" s="230" t="str">
        <f ca="1">IF( ISNA( VLOOKUP( APIF_Import!$O309 &amp; APIF_Import!$F$1,Podesavanja!$AA$3:$AD$28, 4, 0)), "", VLOOKUP( APIF_Import!$C309, INDIRECT( "Lookup_" &amp; APIF_Import!$O309), VLOOKUP( APIF_Import!$O309 &amp; APIF_Import!$F$1,Podesavanja!$AA$3:$AD$28, 4, 0), 0))</f>
        <v/>
      </c>
      <c r="G309" s="230" t="str">
        <f ca="1">IF( ISNA( VLOOKUP( APIF_Import!$O309 &amp; APIF_Import!$G$1,Podesavanja!$AA$3:$AD$28, 4, 0)), "", VLOOKUP( APIF_Import!$C309, INDIRECT( "Lookup_" &amp; APIF_Import!$O309), VLOOKUP( APIF_Import!$O309 &amp; APIF_Import!$G$1,Podesavanja!$AA$3:$AD$28, 4, 0), 0))</f>
        <v/>
      </c>
      <c r="H309" s="230" t="str">
        <f ca="1">IF( ISNA( VLOOKUP( APIF_Import!$O309 &amp; APIF_Import!$H$1,Podesavanja!$AA$3:$AD$28, 4, 0)), "", VLOOKUP( APIF_Import!$C309, INDIRECT( "Lookup_" &amp; APIF_Import!$O309), VLOOKUP( APIF_Import!$O309 &amp; APIF_Import!$H$1,Podesavanja!$AA$3:$AD$28, 4, 0), 0))</f>
        <v/>
      </c>
      <c r="I309" s="230" t="str">
        <f ca="1">IF( ISNA( VLOOKUP( APIF_Import!$O309 &amp; APIF_Import!$I$1,Podesavanja!$AA$3:$AD$28, 4, 0)), "", VLOOKUP( APIF_Import!$C309, INDIRECT( "Lookup_" &amp; APIF_Import!$M309:$O309), VLOOKUP( APIF_Import!$O309 &amp; APIF_Import!$I$1,Podesavanja!$AA$3:$AD$28, 4, 0), 0))</f>
        <v/>
      </c>
      <c r="J309" s="230" t="str">
        <f ca="1">IF( ISNA( VLOOKUP( APIF_Import!$O309 &amp; APIF_Import!$J$1,Podesavanja!$AA$3:$AD$28, 4, 0)), "", VLOOKUP( APIF_Import!$C309, INDIRECT( "Lookup_" &amp; APIF_Import!$M309:$O309), VLOOKUP( APIF_Import!$O309 &amp; APIF_Import!$J$1,Podesavanja!$AA$3:$AD$28, 4, 0), 0))</f>
        <v/>
      </c>
      <c r="K309" s="230" t="str">
        <f ca="1">IF( ISNA( VLOOKUP( APIF_Import!$O309 &amp; APIF_Import!$K$1,Podesavanja!$AA$3:$AD$28, 4, 0)), "", VLOOKUP( APIF_Import!$C309, INDIRECT( "Lookup_" &amp; APIF_Import!$M309:$O309), VLOOKUP( APIF_Import!$O309 &amp; APIF_Import!$K$1,Podesavanja!$AA$3:$AD$28, 4, 0), 0))</f>
        <v/>
      </c>
      <c r="L309" s="230" t="str">
        <f ca="1">IF( ISNA( VLOOKUP( APIF_Import!$O309 &amp; APIF_Import!$L$1,Podesavanja!$AA$3:$AD$28, 4, 0)), "", VLOOKUP( APIF_Import!$C309, INDIRECT( "Lookup_" &amp; APIF_Import!$M309:$O309), VLOOKUP( APIF_Import!$O309 &amp; APIF_Import!$L$1,Podesavanja!$AA$3:$AD$28, 4, 0), 0))</f>
        <v/>
      </c>
      <c r="M309" s="230" t="str">
        <f ca="1">IF( ISNA( VLOOKUP( APIF_Import!$O309 &amp; APIF_Import!$M$1,Podesavanja!$AA$3:$AD$28, 4, 0)), "", VLOOKUP( APIF_Import!$C309, INDIRECT( "Lookup_" &amp; APIF_Import!$M309:$O309), VLOOKUP( APIF_Import!$O309 &amp; APIF_Import!$M$1,Podesavanja!$AA$3:$AD$28, 4, 0), 0))</f>
        <v/>
      </c>
      <c r="N309" s="8">
        <v>310</v>
      </c>
      <c r="O309" s="49" t="s">
        <v>1537</v>
      </c>
    </row>
    <row r="310" spans="2:15">
      <c r="B310" s="44">
        <f ca="1">VLOOKUP( APIF_Import!$O310, Podesavanja!$N$3:$Q$9, 4, 0)</f>
        <v>5</v>
      </c>
      <c r="C310" s="229">
        <f ca="1">VLOOKUP( APIF_Import!$N310, Aop!$A$2:$P$456, 4, 0)</f>
        <v>528</v>
      </c>
      <c r="D310" s="230" t="str">
        <f ca="1">IF( ISNA( VLOOKUP( APIF_Import!$O310 &amp; APIF_Import!$D$1,Podesavanja!$AA$3:$AD$28, 4, 0)), "", SUBSTITUTE( VALUE( VLOOKUP( APIF_Import!$C310, INDIRECT( "Lookup_" &amp; APIF_Import!$O310), VLOOKUP( APIF_Import!$O310 &amp; APIF_Import!$D$1,Podesavanja!$AA$3:$AD$28, 4, 0), 0)), ".", ","))</f>
        <v>17085001</v>
      </c>
      <c r="E310" s="230">
        <f ca="1">IF( ISNA( VLOOKUP( APIF_Import!$O310 &amp; APIF_Import!$E$1,Podesavanja!$AA$3:$AD$28, 4, 0)), "", VLOOKUP( APIF_Import!$C310, INDIRECT( "Lookup_" &amp; APIF_Import!$O310), VLOOKUP( APIF_Import!$O310 &amp; APIF_Import!$E$1,Podesavanja!$AA$3:$AD$28, 4, 0), 0))</f>
        <v>0</v>
      </c>
      <c r="F310" s="230" t="str">
        <f ca="1">IF( ISNA( VLOOKUP( APIF_Import!$O310 &amp; APIF_Import!$F$1,Podesavanja!$AA$3:$AD$28, 4, 0)), "", VLOOKUP( APIF_Import!$C310, INDIRECT( "Lookup_" &amp; APIF_Import!$O310), VLOOKUP( APIF_Import!$O310 &amp; APIF_Import!$F$1,Podesavanja!$AA$3:$AD$28, 4, 0), 0))</f>
        <v/>
      </c>
      <c r="G310" s="230" t="str">
        <f ca="1">IF( ISNA( VLOOKUP( APIF_Import!$O310 &amp; APIF_Import!$G$1,Podesavanja!$AA$3:$AD$28, 4, 0)), "", VLOOKUP( APIF_Import!$C310, INDIRECT( "Lookup_" &amp; APIF_Import!$O310), VLOOKUP( APIF_Import!$O310 &amp; APIF_Import!$G$1,Podesavanja!$AA$3:$AD$28, 4, 0), 0))</f>
        <v/>
      </c>
      <c r="H310" s="230" t="str">
        <f ca="1">IF( ISNA( VLOOKUP( APIF_Import!$O310 &amp; APIF_Import!$H$1,Podesavanja!$AA$3:$AD$28, 4, 0)), "", VLOOKUP( APIF_Import!$C310, INDIRECT( "Lookup_" &amp; APIF_Import!$O310), VLOOKUP( APIF_Import!$O310 &amp; APIF_Import!$H$1,Podesavanja!$AA$3:$AD$28, 4, 0), 0))</f>
        <v/>
      </c>
      <c r="I310" s="230" t="str">
        <f ca="1">IF( ISNA( VLOOKUP( APIF_Import!$O310 &amp; APIF_Import!$I$1,Podesavanja!$AA$3:$AD$28, 4, 0)), "", VLOOKUP( APIF_Import!$C310, INDIRECT( "Lookup_" &amp; APIF_Import!$M310:$O310), VLOOKUP( APIF_Import!$O310 &amp; APIF_Import!$I$1,Podesavanja!$AA$3:$AD$28, 4, 0), 0))</f>
        <v/>
      </c>
      <c r="J310" s="230" t="str">
        <f ca="1">IF( ISNA( VLOOKUP( APIF_Import!$O310 &amp; APIF_Import!$J$1,Podesavanja!$AA$3:$AD$28, 4, 0)), "", VLOOKUP( APIF_Import!$C310, INDIRECT( "Lookup_" &amp; APIF_Import!$M310:$O310), VLOOKUP( APIF_Import!$O310 &amp; APIF_Import!$J$1,Podesavanja!$AA$3:$AD$28, 4, 0), 0))</f>
        <v/>
      </c>
      <c r="K310" s="230" t="str">
        <f ca="1">IF( ISNA( VLOOKUP( APIF_Import!$O310 &amp; APIF_Import!$K$1,Podesavanja!$AA$3:$AD$28, 4, 0)), "", VLOOKUP( APIF_Import!$C310, INDIRECT( "Lookup_" &amp; APIF_Import!$M310:$O310), VLOOKUP( APIF_Import!$O310 &amp; APIF_Import!$K$1,Podesavanja!$AA$3:$AD$28, 4, 0), 0))</f>
        <v/>
      </c>
      <c r="L310" s="230" t="str">
        <f ca="1">IF( ISNA( VLOOKUP( APIF_Import!$O310 &amp; APIF_Import!$L$1,Podesavanja!$AA$3:$AD$28, 4, 0)), "", VLOOKUP( APIF_Import!$C310, INDIRECT( "Lookup_" &amp; APIF_Import!$M310:$O310), VLOOKUP( APIF_Import!$O310 &amp; APIF_Import!$L$1,Podesavanja!$AA$3:$AD$28, 4, 0), 0))</f>
        <v/>
      </c>
      <c r="M310" s="230" t="str">
        <f ca="1">IF( ISNA( VLOOKUP( APIF_Import!$O310 &amp; APIF_Import!$M$1,Podesavanja!$AA$3:$AD$28, 4, 0)), "", VLOOKUP( APIF_Import!$C310, INDIRECT( "Lookup_" &amp; APIF_Import!$M310:$O310), VLOOKUP( APIF_Import!$O310 &amp; APIF_Import!$M$1,Podesavanja!$AA$3:$AD$28, 4, 0), 0))</f>
        <v/>
      </c>
      <c r="N310" s="8">
        <v>311</v>
      </c>
      <c r="O310" s="49" t="s">
        <v>1537</v>
      </c>
    </row>
    <row r="311" spans="2:15">
      <c r="B311" s="44">
        <f ca="1">VLOOKUP( APIF_Import!$O311, Podesavanja!$N$3:$Q$9, 4, 0)</f>
        <v>5</v>
      </c>
      <c r="C311" s="229">
        <f ca="1">VLOOKUP( APIF_Import!$N311, Aop!$A$2:$P$456, 4, 0)</f>
        <v>529</v>
      </c>
      <c r="D311" s="230" t="str">
        <f ca="1">IF( ISNA( VLOOKUP( APIF_Import!$O311 &amp; APIF_Import!$D$1,Podesavanja!$AA$3:$AD$28, 4, 0)), "", SUBSTITUTE( VALUE( VLOOKUP( APIF_Import!$C311, INDIRECT( "Lookup_" &amp; APIF_Import!$O311), VLOOKUP( APIF_Import!$O311 &amp; APIF_Import!$D$1,Podesavanja!$AA$3:$AD$28, 4, 0), 0)), ".", ","))</f>
        <v>0</v>
      </c>
      <c r="E311" s="230">
        <f ca="1">IF( ISNA( VLOOKUP( APIF_Import!$O311 &amp; APIF_Import!$E$1,Podesavanja!$AA$3:$AD$28, 4, 0)), "", VLOOKUP( APIF_Import!$C311, INDIRECT( "Lookup_" &amp; APIF_Import!$O311), VLOOKUP( APIF_Import!$O311 &amp; APIF_Import!$E$1,Podesavanja!$AA$3:$AD$28, 4, 0), 0))</f>
        <v>0</v>
      </c>
      <c r="F311" s="230" t="str">
        <f ca="1">IF( ISNA( VLOOKUP( APIF_Import!$O311 &amp; APIF_Import!$F$1,Podesavanja!$AA$3:$AD$28, 4, 0)), "", VLOOKUP( APIF_Import!$C311, INDIRECT( "Lookup_" &amp; APIF_Import!$O311), VLOOKUP( APIF_Import!$O311 &amp; APIF_Import!$F$1,Podesavanja!$AA$3:$AD$28, 4, 0), 0))</f>
        <v/>
      </c>
      <c r="G311" s="230" t="str">
        <f ca="1">IF( ISNA( VLOOKUP( APIF_Import!$O311 &amp; APIF_Import!$G$1,Podesavanja!$AA$3:$AD$28, 4, 0)), "", VLOOKUP( APIF_Import!$C311, INDIRECT( "Lookup_" &amp; APIF_Import!$O311), VLOOKUP( APIF_Import!$O311 &amp; APIF_Import!$G$1,Podesavanja!$AA$3:$AD$28, 4, 0), 0))</f>
        <v/>
      </c>
      <c r="H311" s="230" t="str">
        <f ca="1">IF( ISNA( VLOOKUP( APIF_Import!$O311 &amp; APIF_Import!$H$1,Podesavanja!$AA$3:$AD$28, 4, 0)), "", VLOOKUP( APIF_Import!$C311, INDIRECT( "Lookup_" &amp; APIF_Import!$O311), VLOOKUP( APIF_Import!$O311 &amp; APIF_Import!$H$1,Podesavanja!$AA$3:$AD$28, 4, 0), 0))</f>
        <v/>
      </c>
      <c r="I311" s="230" t="str">
        <f ca="1">IF( ISNA( VLOOKUP( APIF_Import!$O311 &amp; APIF_Import!$I$1,Podesavanja!$AA$3:$AD$28, 4, 0)), "", VLOOKUP( APIF_Import!$C311, INDIRECT( "Lookup_" &amp; APIF_Import!$M311:$O311), VLOOKUP( APIF_Import!$O311 &amp; APIF_Import!$I$1,Podesavanja!$AA$3:$AD$28, 4, 0), 0))</f>
        <v/>
      </c>
      <c r="J311" s="230" t="str">
        <f ca="1">IF( ISNA( VLOOKUP( APIF_Import!$O311 &amp; APIF_Import!$J$1,Podesavanja!$AA$3:$AD$28, 4, 0)), "", VLOOKUP( APIF_Import!$C311, INDIRECT( "Lookup_" &amp; APIF_Import!$M311:$O311), VLOOKUP( APIF_Import!$O311 &amp; APIF_Import!$J$1,Podesavanja!$AA$3:$AD$28, 4, 0), 0))</f>
        <v/>
      </c>
      <c r="K311" s="230" t="str">
        <f ca="1">IF( ISNA( VLOOKUP( APIF_Import!$O311 &amp; APIF_Import!$K$1,Podesavanja!$AA$3:$AD$28, 4, 0)), "", VLOOKUP( APIF_Import!$C311, INDIRECT( "Lookup_" &amp; APIF_Import!$M311:$O311), VLOOKUP( APIF_Import!$O311 &amp; APIF_Import!$K$1,Podesavanja!$AA$3:$AD$28, 4, 0), 0))</f>
        <v/>
      </c>
      <c r="L311" s="230" t="str">
        <f ca="1">IF( ISNA( VLOOKUP( APIF_Import!$O311 &amp; APIF_Import!$L$1,Podesavanja!$AA$3:$AD$28, 4, 0)), "", VLOOKUP( APIF_Import!$C311, INDIRECT( "Lookup_" &amp; APIF_Import!$M311:$O311), VLOOKUP( APIF_Import!$O311 &amp; APIF_Import!$L$1,Podesavanja!$AA$3:$AD$28, 4, 0), 0))</f>
        <v/>
      </c>
      <c r="M311" s="230" t="str">
        <f ca="1">IF( ISNA( VLOOKUP( APIF_Import!$O311 &amp; APIF_Import!$M$1,Podesavanja!$AA$3:$AD$28, 4, 0)), "", VLOOKUP( APIF_Import!$C311, INDIRECT( "Lookup_" &amp; APIF_Import!$M311:$O311), VLOOKUP( APIF_Import!$O311 &amp; APIF_Import!$M$1,Podesavanja!$AA$3:$AD$28, 4, 0), 0))</f>
        <v/>
      </c>
      <c r="N311" s="8">
        <v>312</v>
      </c>
      <c r="O311" s="49" t="s">
        <v>1537</v>
      </c>
    </row>
    <row r="312" spans="2:15">
      <c r="B312" s="44">
        <f ca="1">VLOOKUP( APIF_Import!$O312, Podesavanja!$N$3:$Q$9, 4, 0)</f>
        <v>5</v>
      </c>
      <c r="C312" s="229">
        <f ca="1">VLOOKUP( APIF_Import!$N312, Aop!$A$2:$P$456, 4, 0)</f>
        <v>530</v>
      </c>
      <c r="D312" s="230" t="str">
        <f ca="1">IF( ISNA( VLOOKUP( APIF_Import!$O312 &amp; APIF_Import!$D$1,Podesavanja!$AA$3:$AD$28, 4, 0)), "", SUBSTITUTE( VALUE( VLOOKUP( APIF_Import!$C312, INDIRECT( "Lookup_" &amp; APIF_Import!$O312), VLOOKUP( APIF_Import!$O312 &amp; APIF_Import!$D$1,Podesavanja!$AA$3:$AD$28, 4, 0), 0)), ".", ","))</f>
        <v>0</v>
      </c>
      <c r="E312" s="230">
        <f ca="1">IF( ISNA( VLOOKUP( APIF_Import!$O312 &amp; APIF_Import!$E$1,Podesavanja!$AA$3:$AD$28, 4, 0)), "", VLOOKUP( APIF_Import!$C312, INDIRECT( "Lookup_" &amp; APIF_Import!$O312), VLOOKUP( APIF_Import!$O312 &amp; APIF_Import!$E$1,Podesavanja!$AA$3:$AD$28, 4, 0), 0))</f>
        <v>0</v>
      </c>
      <c r="F312" s="230" t="str">
        <f ca="1">IF( ISNA( VLOOKUP( APIF_Import!$O312 &amp; APIF_Import!$F$1,Podesavanja!$AA$3:$AD$28, 4, 0)), "", VLOOKUP( APIF_Import!$C312, INDIRECT( "Lookup_" &amp; APIF_Import!$O312), VLOOKUP( APIF_Import!$O312 &amp; APIF_Import!$F$1,Podesavanja!$AA$3:$AD$28, 4, 0), 0))</f>
        <v/>
      </c>
      <c r="G312" s="230" t="str">
        <f ca="1">IF( ISNA( VLOOKUP( APIF_Import!$O312 &amp; APIF_Import!$G$1,Podesavanja!$AA$3:$AD$28, 4, 0)), "", VLOOKUP( APIF_Import!$C312, INDIRECT( "Lookup_" &amp; APIF_Import!$O312), VLOOKUP( APIF_Import!$O312 &amp; APIF_Import!$G$1,Podesavanja!$AA$3:$AD$28, 4, 0), 0))</f>
        <v/>
      </c>
      <c r="H312" s="230" t="str">
        <f ca="1">IF( ISNA( VLOOKUP( APIF_Import!$O312 &amp; APIF_Import!$H$1,Podesavanja!$AA$3:$AD$28, 4, 0)), "", VLOOKUP( APIF_Import!$C312, INDIRECT( "Lookup_" &amp; APIF_Import!$O312), VLOOKUP( APIF_Import!$O312 &amp; APIF_Import!$H$1,Podesavanja!$AA$3:$AD$28, 4, 0), 0))</f>
        <v/>
      </c>
      <c r="I312" s="230" t="str">
        <f ca="1">IF( ISNA( VLOOKUP( APIF_Import!$O312 &amp; APIF_Import!$I$1,Podesavanja!$AA$3:$AD$28, 4, 0)), "", VLOOKUP( APIF_Import!$C312, INDIRECT( "Lookup_" &amp; APIF_Import!$M312:$O312), VLOOKUP( APIF_Import!$O312 &amp; APIF_Import!$I$1,Podesavanja!$AA$3:$AD$28, 4, 0), 0))</f>
        <v/>
      </c>
      <c r="J312" s="230" t="str">
        <f ca="1">IF( ISNA( VLOOKUP( APIF_Import!$O312 &amp; APIF_Import!$J$1,Podesavanja!$AA$3:$AD$28, 4, 0)), "", VLOOKUP( APIF_Import!$C312, INDIRECT( "Lookup_" &amp; APIF_Import!$M312:$O312), VLOOKUP( APIF_Import!$O312 &amp; APIF_Import!$J$1,Podesavanja!$AA$3:$AD$28, 4, 0), 0))</f>
        <v/>
      </c>
      <c r="K312" s="230" t="str">
        <f ca="1">IF( ISNA( VLOOKUP( APIF_Import!$O312 &amp; APIF_Import!$K$1,Podesavanja!$AA$3:$AD$28, 4, 0)), "", VLOOKUP( APIF_Import!$C312, INDIRECT( "Lookup_" &amp; APIF_Import!$M312:$O312), VLOOKUP( APIF_Import!$O312 &amp; APIF_Import!$K$1,Podesavanja!$AA$3:$AD$28, 4, 0), 0))</f>
        <v/>
      </c>
      <c r="L312" s="230" t="str">
        <f ca="1">IF( ISNA( VLOOKUP( APIF_Import!$O312 &amp; APIF_Import!$L$1,Podesavanja!$AA$3:$AD$28, 4, 0)), "", VLOOKUP( APIF_Import!$C312, INDIRECT( "Lookup_" &amp; APIF_Import!$M312:$O312), VLOOKUP( APIF_Import!$O312 &amp; APIF_Import!$L$1,Podesavanja!$AA$3:$AD$28, 4, 0), 0))</f>
        <v/>
      </c>
      <c r="M312" s="230" t="str">
        <f ca="1">IF( ISNA( VLOOKUP( APIF_Import!$O312 &amp; APIF_Import!$M$1,Podesavanja!$AA$3:$AD$28, 4, 0)), "", VLOOKUP( APIF_Import!$C312, INDIRECT( "Lookup_" &amp; APIF_Import!$M312:$O312), VLOOKUP( APIF_Import!$O312 &amp; APIF_Import!$M$1,Podesavanja!$AA$3:$AD$28, 4, 0), 0))</f>
        <v/>
      </c>
      <c r="N312" s="8">
        <v>313</v>
      </c>
      <c r="O312" s="49" t="s">
        <v>1537</v>
      </c>
    </row>
    <row r="313" spans="2:15">
      <c r="B313" s="44">
        <f ca="1">VLOOKUP( APIF_Import!$O313, Podesavanja!$N$3:$Q$9, 4, 0)</f>
        <v>5</v>
      </c>
      <c r="C313" s="229">
        <f ca="1">VLOOKUP( APIF_Import!$N313, Aop!$A$2:$P$456, 4, 0)</f>
        <v>531</v>
      </c>
      <c r="D313" s="230" t="str">
        <f ca="1">IF( ISNA( VLOOKUP( APIF_Import!$O313 &amp; APIF_Import!$D$1,Podesavanja!$AA$3:$AD$28, 4, 0)), "", SUBSTITUTE( VALUE( VLOOKUP( APIF_Import!$C313, INDIRECT( "Lookup_" &amp; APIF_Import!$O313), VLOOKUP( APIF_Import!$O313 &amp; APIF_Import!$D$1,Podesavanja!$AA$3:$AD$28, 4, 0), 0)), ".", ","))</f>
        <v>349062</v>
      </c>
      <c r="E313" s="230">
        <f ca="1">IF( ISNA( VLOOKUP( APIF_Import!$O313 &amp; APIF_Import!$E$1,Podesavanja!$AA$3:$AD$28, 4, 0)), "", VLOOKUP( APIF_Import!$C313, INDIRECT( "Lookup_" &amp; APIF_Import!$O313), VLOOKUP( APIF_Import!$O313 &amp; APIF_Import!$E$1,Podesavanja!$AA$3:$AD$28, 4, 0), 0))</f>
        <v>0</v>
      </c>
      <c r="F313" s="230" t="str">
        <f ca="1">IF( ISNA( VLOOKUP( APIF_Import!$O313 &amp; APIF_Import!$F$1,Podesavanja!$AA$3:$AD$28, 4, 0)), "", VLOOKUP( APIF_Import!$C313, INDIRECT( "Lookup_" &amp; APIF_Import!$O313), VLOOKUP( APIF_Import!$O313 &amp; APIF_Import!$F$1,Podesavanja!$AA$3:$AD$28, 4, 0), 0))</f>
        <v/>
      </c>
      <c r="G313" s="230" t="str">
        <f ca="1">IF( ISNA( VLOOKUP( APIF_Import!$O313 &amp; APIF_Import!$G$1,Podesavanja!$AA$3:$AD$28, 4, 0)), "", VLOOKUP( APIF_Import!$C313, INDIRECT( "Lookup_" &amp; APIF_Import!$O313), VLOOKUP( APIF_Import!$O313 &amp; APIF_Import!$G$1,Podesavanja!$AA$3:$AD$28, 4, 0), 0))</f>
        <v/>
      </c>
      <c r="H313" s="230" t="str">
        <f ca="1">IF( ISNA( VLOOKUP( APIF_Import!$O313 &amp; APIF_Import!$H$1,Podesavanja!$AA$3:$AD$28, 4, 0)), "", VLOOKUP( APIF_Import!$C313, INDIRECT( "Lookup_" &amp; APIF_Import!$O313), VLOOKUP( APIF_Import!$O313 &amp; APIF_Import!$H$1,Podesavanja!$AA$3:$AD$28, 4, 0), 0))</f>
        <v/>
      </c>
      <c r="I313" s="230" t="str">
        <f ca="1">IF( ISNA( VLOOKUP( APIF_Import!$O313 &amp; APIF_Import!$I$1,Podesavanja!$AA$3:$AD$28, 4, 0)), "", VLOOKUP( APIF_Import!$C313, INDIRECT( "Lookup_" &amp; APIF_Import!$M313:$O313), VLOOKUP( APIF_Import!$O313 &amp; APIF_Import!$I$1,Podesavanja!$AA$3:$AD$28, 4, 0), 0))</f>
        <v/>
      </c>
      <c r="J313" s="230" t="str">
        <f ca="1">IF( ISNA( VLOOKUP( APIF_Import!$O313 &amp; APIF_Import!$J$1,Podesavanja!$AA$3:$AD$28, 4, 0)), "", VLOOKUP( APIF_Import!$C313, INDIRECT( "Lookup_" &amp; APIF_Import!$M313:$O313), VLOOKUP( APIF_Import!$O313 &amp; APIF_Import!$J$1,Podesavanja!$AA$3:$AD$28, 4, 0), 0))</f>
        <v/>
      </c>
      <c r="K313" s="230" t="str">
        <f ca="1">IF( ISNA( VLOOKUP( APIF_Import!$O313 &amp; APIF_Import!$K$1,Podesavanja!$AA$3:$AD$28, 4, 0)), "", VLOOKUP( APIF_Import!$C313, INDIRECT( "Lookup_" &amp; APIF_Import!$M313:$O313), VLOOKUP( APIF_Import!$O313 &amp; APIF_Import!$K$1,Podesavanja!$AA$3:$AD$28, 4, 0), 0))</f>
        <v/>
      </c>
      <c r="L313" s="230" t="str">
        <f ca="1">IF( ISNA( VLOOKUP( APIF_Import!$O313 &amp; APIF_Import!$L$1,Podesavanja!$AA$3:$AD$28, 4, 0)), "", VLOOKUP( APIF_Import!$C313, INDIRECT( "Lookup_" &amp; APIF_Import!$M313:$O313), VLOOKUP( APIF_Import!$O313 &amp; APIF_Import!$L$1,Podesavanja!$AA$3:$AD$28, 4, 0), 0))</f>
        <v/>
      </c>
      <c r="M313" s="230" t="str">
        <f ca="1">IF( ISNA( VLOOKUP( APIF_Import!$O313 &amp; APIF_Import!$M$1,Podesavanja!$AA$3:$AD$28, 4, 0)), "", VLOOKUP( APIF_Import!$C313, INDIRECT( "Lookup_" &amp; APIF_Import!$M313:$O313), VLOOKUP( APIF_Import!$O313 &amp; APIF_Import!$M$1,Podesavanja!$AA$3:$AD$28, 4, 0), 0))</f>
        <v/>
      </c>
      <c r="N313" s="8">
        <v>314</v>
      </c>
      <c r="O313" s="49" t="s">
        <v>1537</v>
      </c>
    </row>
    <row r="314" spans="2:15">
      <c r="B314" s="44">
        <f ca="1">VLOOKUP( APIF_Import!$O314, Podesavanja!$N$3:$Q$9, 4, 0)</f>
        <v>5</v>
      </c>
      <c r="C314" s="229">
        <f ca="1">VLOOKUP( APIF_Import!$N314, Aop!$A$2:$P$456, 4, 0)</f>
        <v>532</v>
      </c>
      <c r="D314" s="230" t="str">
        <f ca="1">IF( ISNA( VLOOKUP( APIF_Import!$O314 &amp; APIF_Import!$D$1,Podesavanja!$AA$3:$AD$28, 4, 0)), "", SUBSTITUTE( VALUE( VLOOKUP( APIF_Import!$C314, INDIRECT( "Lookup_" &amp; APIF_Import!$O314), VLOOKUP( APIF_Import!$O314 &amp; APIF_Import!$D$1,Podesavanja!$AA$3:$AD$28, 4, 0), 0)), ".", ","))</f>
        <v>0</v>
      </c>
      <c r="E314" s="230">
        <f ca="1">IF( ISNA( VLOOKUP( APIF_Import!$O314 &amp; APIF_Import!$E$1,Podesavanja!$AA$3:$AD$28, 4, 0)), "", VLOOKUP( APIF_Import!$C314, INDIRECT( "Lookup_" &amp; APIF_Import!$O314), VLOOKUP( APIF_Import!$O314 &amp; APIF_Import!$E$1,Podesavanja!$AA$3:$AD$28, 4, 0), 0))</f>
        <v>0</v>
      </c>
      <c r="F314" s="230" t="str">
        <f ca="1">IF( ISNA( VLOOKUP( APIF_Import!$O314 &amp; APIF_Import!$F$1,Podesavanja!$AA$3:$AD$28, 4, 0)), "", VLOOKUP( APIF_Import!$C314, INDIRECT( "Lookup_" &amp; APIF_Import!$O314), VLOOKUP( APIF_Import!$O314 &amp; APIF_Import!$F$1,Podesavanja!$AA$3:$AD$28, 4, 0), 0))</f>
        <v/>
      </c>
      <c r="G314" s="230" t="str">
        <f ca="1">IF( ISNA( VLOOKUP( APIF_Import!$O314 &amp; APIF_Import!$G$1,Podesavanja!$AA$3:$AD$28, 4, 0)), "", VLOOKUP( APIF_Import!$C314, INDIRECT( "Lookup_" &amp; APIF_Import!$O314), VLOOKUP( APIF_Import!$O314 &amp; APIF_Import!$G$1,Podesavanja!$AA$3:$AD$28, 4, 0), 0))</f>
        <v/>
      </c>
      <c r="H314" s="230" t="str">
        <f ca="1">IF( ISNA( VLOOKUP( APIF_Import!$O314 &amp; APIF_Import!$H$1,Podesavanja!$AA$3:$AD$28, 4, 0)), "", VLOOKUP( APIF_Import!$C314, INDIRECT( "Lookup_" &amp; APIF_Import!$O314), VLOOKUP( APIF_Import!$O314 &amp; APIF_Import!$H$1,Podesavanja!$AA$3:$AD$28, 4, 0), 0))</f>
        <v/>
      </c>
      <c r="I314" s="230" t="str">
        <f ca="1">IF( ISNA( VLOOKUP( APIF_Import!$O314 &amp; APIF_Import!$I$1,Podesavanja!$AA$3:$AD$28, 4, 0)), "", VLOOKUP( APIF_Import!$C314, INDIRECT( "Lookup_" &amp; APIF_Import!$M314:$O314), VLOOKUP( APIF_Import!$O314 &amp; APIF_Import!$I$1,Podesavanja!$AA$3:$AD$28, 4, 0), 0))</f>
        <v/>
      </c>
      <c r="J314" s="230" t="str">
        <f ca="1">IF( ISNA( VLOOKUP( APIF_Import!$O314 &amp; APIF_Import!$J$1,Podesavanja!$AA$3:$AD$28, 4, 0)), "", VLOOKUP( APIF_Import!$C314, INDIRECT( "Lookup_" &amp; APIF_Import!$M314:$O314), VLOOKUP( APIF_Import!$O314 &amp; APIF_Import!$J$1,Podesavanja!$AA$3:$AD$28, 4, 0), 0))</f>
        <v/>
      </c>
      <c r="K314" s="230" t="str">
        <f ca="1">IF( ISNA( VLOOKUP( APIF_Import!$O314 &amp; APIF_Import!$K$1,Podesavanja!$AA$3:$AD$28, 4, 0)), "", VLOOKUP( APIF_Import!$C314, INDIRECT( "Lookup_" &amp; APIF_Import!$M314:$O314), VLOOKUP( APIF_Import!$O314 &amp; APIF_Import!$K$1,Podesavanja!$AA$3:$AD$28, 4, 0), 0))</f>
        <v/>
      </c>
      <c r="L314" s="230" t="str">
        <f ca="1">IF( ISNA( VLOOKUP( APIF_Import!$O314 &amp; APIF_Import!$L$1,Podesavanja!$AA$3:$AD$28, 4, 0)), "", VLOOKUP( APIF_Import!$C314, INDIRECT( "Lookup_" &amp; APIF_Import!$M314:$O314), VLOOKUP( APIF_Import!$O314 &amp; APIF_Import!$L$1,Podesavanja!$AA$3:$AD$28, 4, 0), 0))</f>
        <v/>
      </c>
      <c r="M314" s="230" t="str">
        <f ca="1">IF( ISNA( VLOOKUP( APIF_Import!$O314 &amp; APIF_Import!$M$1,Podesavanja!$AA$3:$AD$28, 4, 0)), "", VLOOKUP( APIF_Import!$C314, INDIRECT( "Lookup_" &amp; APIF_Import!$M314:$O314), VLOOKUP( APIF_Import!$O314 &amp; APIF_Import!$M$1,Podesavanja!$AA$3:$AD$28, 4, 0), 0))</f>
        <v/>
      </c>
      <c r="N314" s="8">
        <v>315</v>
      </c>
      <c r="O314" s="49" t="s">
        <v>1537</v>
      </c>
    </row>
    <row r="315" spans="2:15">
      <c r="B315" s="44">
        <f ca="1">VLOOKUP( APIF_Import!$O315, Podesavanja!$N$3:$Q$9, 4, 0)</f>
        <v>5</v>
      </c>
      <c r="C315" s="229">
        <f ca="1">VLOOKUP( APIF_Import!$N315, Aop!$A$2:$P$456, 4, 0)</f>
        <v>533</v>
      </c>
      <c r="D315" s="230" t="str">
        <f ca="1">IF( ISNA( VLOOKUP( APIF_Import!$O315 &amp; APIF_Import!$D$1,Podesavanja!$AA$3:$AD$28, 4, 0)), "", SUBSTITUTE( VALUE( VLOOKUP( APIF_Import!$C315, INDIRECT( "Lookup_" &amp; APIF_Import!$O315), VLOOKUP( APIF_Import!$O315 &amp; APIF_Import!$D$1,Podesavanja!$AA$3:$AD$28, 4, 0), 0)), ".", ","))</f>
        <v>0</v>
      </c>
      <c r="E315" s="230">
        <f ca="1">IF( ISNA( VLOOKUP( APIF_Import!$O315 &amp; APIF_Import!$E$1,Podesavanja!$AA$3:$AD$28, 4, 0)), "", VLOOKUP( APIF_Import!$C315, INDIRECT( "Lookup_" &amp; APIF_Import!$O315), VLOOKUP( APIF_Import!$O315 &amp; APIF_Import!$E$1,Podesavanja!$AA$3:$AD$28, 4, 0), 0))</f>
        <v>0</v>
      </c>
      <c r="F315" s="230" t="str">
        <f ca="1">IF( ISNA( VLOOKUP( APIF_Import!$O315 &amp; APIF_Import!$F$1,Podesavanja!$AA$3:$AD$28, 4, 0)), "", VLOOKUP( APIF_Import!$C315, INDIRECT( "Lookup_" &amp; APIF_Import!$O315), VLOOKUP( APIF_Import!$O315 &amp; APIF_Import!$F$1,Podesavanja!$AA$3:$AD$28, 4, 0), 0))</f>
        <v/>
      </c>
      <c r="G315" s="230" t="str">
        <f ca="1">IF( ISNA( VLOOKUP( APIF_Import!$O315 &amp; APIF_Import!$G$1,Podesavanja!$AA$3:$AD$28, 4, 0)), "", VLOOKUP( APIF_Import!$C315, INDIRECT( "Lookup_" &amp; APIF_Import!$O315), VLOOKUP( APIF_Import!$O315 &amp; APIF_Import!$G$1,Podesavanja!$AA$3:$AD$28, 4, 0), 0))</f>
        <v/>
      </c>
      <c r="H315" s="230" t="str">
        <f ca="1">IF( ISNA( VLOOKUP( APIF_Import!$O315 &amp; APIF_Import!$H$1,Podesavanja!$AA$3:$AD$28, 4, 0)), "", VLOOKUP( APIF_Import!$C315, INDIRECT( "Lookup_" &amp; APIF_Import!$O315), VLOOKUP( APIF_Import!$O315 &amp; APIF_Import!$H$1,Podesavanja!$AA$3:$AD$28, 4, 0), 0))</f>
        <v/>
      </c>
      <c r="I315" s="230" t="str">
        <f ca="1">IF( ISNA( VLOOKUP( APIF_Import!$O315 &amp; APIF_Import!$I$1,Podesavanja!$AA$3:$AD$28, 4, 0)), "", VLOOKUP( APIF_Import!$C315, INDIRECT( "Lookup_" &amp; APIF_Import!$M315:$O315), VLOOKUP( APIF_Import!$O315 &amp; APIF_Import!$I$1,Podesavanja!$AA$3:$AD$28, 4, 0), 0))</f>
        <v/>
      </c>
      <c r="J315" s="230" t="str">
        <f ca="1">IF( ISNA( VLOOKUP( APIF_Import!$O315 &amp; APIF_Import!$J$1,Podesavanja!$AA$3:$AD$28, 4, 0)), "", VLOOKUP( APIF_Import!$C315, INDIRECT( "Lookup_" &amp; APIF_Import!$M315:$O315), VLOOKUP( APIF_Import!$O315 &amp; APIF_Import!$J$1,Podesavanja!$AA$3:$AD$28, 4, 0), 0))</f>
        <v/>
      </c>
      <c r="K315" s="230" t="str">
        <f ca="1">IF( ISNA( VLOOKUP( APIF_Import!$O315 &amp; APIF_Import!$K$1,Podesavanja!$AA$3:$AD$28, 4, 0)), "", VLOOKUP( APIF_Import!$C315, INDIRECT( "Lookup_" &amp; APIF_Import!$M315:$O315), VLOOKUP( APIF_Import!$O315 &amp; APIF_Import!$K$1,Podesavanja!$AA$3:$AD$28, 4, 0), 0))</f>
        <v/>
      </c>
      <c r="L315" s="230" t="str">
        <f ca="1">IF( ISNA( VLOOKUP( APIF_Import!$O315 &amp; APIF_Import!$L$1,Podesavanja!$AA$3:$AD$28, 4, 0)), "", VLOOKUP( APIF_Import!$C315, INDIRECT( "Lookup_" &amp; APIF_Import!$M315:$O315), VLOOKUP( APIF_Import!$O315 &amp; APIF_Import!$L$1,Podesavanja!$AA$3:$AD$28, 4, 0), 0))</f>
        <v/>
      </c>
      <c r="M315" s="230" t="str">
        <f ca="1">IF( ISNA( VLOOKUP( APIF_Import!$O315 &amp; APIF_Import!$M$1,Podesavanja!$AA$3:$AD$28, 4, 0)), "", VLOOKUP( APIF_Import!$C315, INDIRECT( "Lookup_" &amp; APIF_Import!$M315:$O315), VLOOKUP( APIF_Import!$O315 &amp; APIF_Import!$M$1,Podesavanja!$AA$3:$AD$28, 4, 0), 0))</f>
        <v/>
      </c>
      <c r="N315" s="8">
        <v>316</v>
      </c>
      <c r="O315" s="49" t="s">
        <v>1537</v>
      </c>
    </row>
    <row r="316" spans="2:15">
      <c r="B316" s="44">
        <f ca="1">VLOOKUP( APIF_Import!$O316, Podesavanja!$N$3:$Q$9, 4, 0)</f>
        <v>5</v>
      </c>
      <c r="C316" s="229">
        <f ca="1">VLOOKUP( APIF_Import!$N316, Aop!$A$2:$P$456, 4, 0)</f>
        <v>534</v>
      </c>
      <c r="D316" s="230" t="str">
        <f ca="1">IF( ISNA( VLOOKUP( APIF_Import!$O316 &amp; APIF_Import!$D$1,Podesavanja!$AA$3:$AD$28, 4, 0)), "", SUBSTITUTE( VALUE( VLOOKUP( APIF_Import!$C316, INDIRECT( "Lookup_" &amp; APIF_Import!$O316), VLOOKUP( APIF_Import!$O316 &amp; APIF_Import!$D$1,Podesavanja!$AA$3:$AD$28, 4, 0), 0)), ".", ","))</f>
        <v>0</v>
      </c>
      <c r="E316" s="230">
        <f ca="1">IF( ISNA( VLOOKUP( APIF_Import!$O316 &amp; APIF_Import!$E$1,Podesavanja!$AA$3:$AD$28, 4, 0)), "", VLOOKUP( APIF_Import!$C316, INDIRECT( "Lookup_" &amp; APIF_Import!$O316), VLOOKUP( APIF_Import!$O316 &amp; APIF_Import!$E$1,Podesavanja!$AA$3:$AD$28, 4, 0), 0))</f>
        <v>0</v>
      </c>
      <c r="F316" s="230" t="str">
        <f ca="1">IF( ISNA( VLOOKUP( APIF_Import!$O316 &amp; APIF_Import!$F$1,Podesavanja!$AA$3:$AD$28, 4, 0)), "", VLOOKUP( APIF_Import!$C316, INDIRECT( "Lookup_" &amp; APIF_Import!$O316), VLOOKUP( APIF_Import!$O316 &amp; APIF_Import!$F$1,Podesavanja!$AA$3:$AD$28, 4, 0), 0))</f>
        <v/>
      </c>
      <c r="G316" s="230" t="str">
        <f ca="1">IF( ISNA( VLOOKUP( APIF_Import!$O316 &amp; APIF_Import!$G$1,Podesavanja!$AA$3:$AD$28, 4, 0)), "", VLOOKUP( APIF_Import!$C316, INDIRECT( "Lookup_" &amp; APIF_Import!$O316), VLOOKUP( APIF_Import!$O316 &amp; APIF_Import!$G$1,Podesavanja!$AA$3:$AD$28, 4, 0), 0))</f>
        <v/>
      </c>
      <c r="H316" s="230" t="str">
        <f ca="1">IF( ISNA( VLOOKUP( APIF_Import!$O316 &amp; APIF_Import!$H$1,Podesavanja!$AA$3:$AD$28, 4, 0)), "", VLOOKUP( APIF_Import!$C316, INDIRECT( "Lookup_" &amp; APIF_Import!$O316), VLOOKUP( APIF_Import!$O316 &amp; APIF_Import!$H$1,Podesavanja!$AA$3:$AD$28, 4, 0), 0))</f>
        <v/>
      </c>
      <c r="I316" s="230" t="str">
        <f ca="1">IF( ISNA( VLOOKUP( APIF_Import!$O316 &amp; APIF_Import!$I$1,Podesavanja!$AA$3:$AD$28, 4, 0)), "", VLOOKUP( APIF_Import!$C316, INDIRECT( "Lookup_" &amp; APIF_Import!$M316:$O316), VLOOKUP( APIF_Import!$O316 &amp; APIF_Import!$I$1,Podesavanja!$AA$3:$AD$28, 4, 0), 0))</f>
        <v/>
      </c>
      <c r="J316" s="230" t="str">
        <f ca="1">IF( ISNA( VLOOKUP( APIF_Import!$O316 &amp; APIF_Import!$J$1,Podesavanja!$AA$3:$AD$28, 4, 0)), "", VLOOKUP( APIF_Import!$C316, INDIRECT( "Lookup_" &amp; APIF_Import!$M316:$O316), VLOOKUP( APIF_Import!$O316 &amp; APIF_Import!$J$1,Podesavanja!$AA$3:$AD$28, 4, 0), 0))</f>
        <v/>
      </c>
      <c r="K316" s="230" t="str">
        <f ca="1">IF( ISNA( VLOOKUP( APIF_Import!$O316 &amp; APIF_Import!$K$1,Podesavanja!$AA$3:$AD$28, 4, 0)), "", VLOOKUP( APIF_Import!$C316, INDIRECT( "Lookup_" &amp; APIF_Import!$M316:$O316), VLOOKUP( APIF_Import!$O316 &amp; APIF_Import!$K$1,Podesavanja!$AA$3:$AD$28, 4, 0), 0))</f>
        <v/>
      </c>
      <c r="L316" s="230" t="str">
        <f ca="1">IF( ISNA( VLOOKUP( APIF_Import!$O316 &amp; APIF_Import!$L$1,Podesavanja!$AA$3:$AD$28, 4, 0)), "", VLOOKUP( APIF_Import!$C316, INDIRECT( "Lookup_" &amp; APIF_Import!$M316:$O316), VLOOKUP( APIF_Import!$O316 &amp; APIF_Import!$L$1,Podesavanja!$AA$3:$AD$28, 4, 0), 0))</f>
        <v/>
      </c>
      <c r="M316" s="230" t="str">
        <f ca="1">IF( ISNA( VLOOKUP( APIF_Import!$O316 &amp; APIF_Import!$M$1,Podesavanja!$AA$3:$AD$28, 4, 0)), "", VLOOKUP( APIF_Import!$C316, INDIRECT( "Lookup_" &amp; APIF_Import!$M316:$O316), VLOOKUP( APIF_Import!$O316 &amp; APIF_Import!$M$1,Podesavanja!$AA$3:$AD$28, 4, 0), 0))</f>
        <v/>
      </c>
      <c r="N316" s="8">
        <v>317</v>
      </c>
      <c r="O316" s="49" t="s">
        <v>1537</v>
      </c>
    </row>
    <row r="317" spans="2:15">
      <c r="B317" s="44">
        <f ca="1">VLOOKUP( APIF_Import!$O317, Podesavanja!$N$3:$Q$9, 4, 0)</f>
        <v>5</v>
      </c>
      <c r="C317" s="229">
        <f ca="1">VLOOKUP( APIF_Import!$N317, Aop!$A$2:$P$456, 4, 0)</f>
        <v>535</v>
      </c>
      <c r="D317" s="230" t="str">
        <f ca="1">IF( ISNA( VLOOKUP( APIF_Import!$O317 &amp; APIF_Import!$D$1,Podesavanja!$AA$3:$AD$28, 4, 0)), "", SUBSTITUTE( VALUE( VLOOKUP( APIF_Import!$C317, INDIRECT( "Lookup_" &amp; APIF_Import!$O317), VLOOKUP( APIF_Import!$O317 &amp; APIF_Import!$D$1,Podesavanja!$AA$3:$AD$28, 4, 0), 0)), ".", ","))</f>
        <v>0</v>
      </c>
      <c r="E317" s="230">
        <f ca="1">IF( ISNA( VLOOKUP( APIF_Import!$O317 &amp; APIF_Import!$E$1,Podesavanja!$AA$3:$AD$28, 4, 0)), "", VLOOKUP( APIF_Import!$C317, INDIRECT( "Lookup_" &amp; APIF_Import!$O317), VLOOKUP( APIF_Import!$O317 &amp; APIF_Import!$E$1,Podesavanja!$AA$3:$AD$28, 4, 0), 0))</f>
        <v>0</v>
      </c>
      <c r="F317" s="230" t="str">
        <f ca="1">IF( ISNA( VLOOKUP( APIF_Import!$O317 &amp; APIF_Import!$F$1,Podesavanja!$AA$3:$AD$28, 4, 0)), "", VLOOKUP( APIF_Import!$C317, INDIRECT( "Lookup_" &amp; APIF_Import!$O317), VLOOKUP( APIF_Import!$O317 &amp; APIF_Import!$F$1,Podesavanja!$AA$3:$AD$28, 4, 0), 0))</f>
        <v/>
      </c>
      <c r="G317" s="230" t="str">
        <f ca="1">IF( ISNA( VLOOKUP( APIF_Import!$O317 &amp; APIF_Import!$G$1,Podesavanja!$AA$3:$AD$28, 4, 0)), "", VLOOKUP( APIF_Import!$C317, INDIRECT( "Lookup_" &amp; APIF_Import!$O317), VLOOKUP( APIF_Import!$O317 &amp; APIF_Import!$G$1,Podesavanja!$AA$3:$AD$28, 4, 0), 0))</f>
        <v/>
      </c>
      <c r="H317" s="230" t="str">
        <f ca="1">IF( ISNA( VLOOKUP( APIF_Import!$O317 &amp; APIF_Import!$H$1,Podesavanja!$AA$3:$AD$28, 4, 0)), "", VLOOKUP( APIF_Import!$C317, INDIRECT( "Lookup_" &amp; APIF_Import!$O317), VLOOKUP( APIF_Import!$O317 &amp; APIF_Import!$H$1,Podesavanja!$AA$3:$AD$28, 4, 0), 0))</f>
        <v/>
      </c>
      <c r="I317" s="230" t="str">
        <f ca="1">IF( ISNA( VLOOKUP( APIF_Import!$O317 &amp; APIF_Import!$I$1,Podesavanja!$AA$3:$AD$28, 4, 0)), "", VLOOKUP( APIF_Import!$C317, INDIRECT( "Lookup_" &amp; APIF_Import!$M317:$O317), VLOOKUP( APIF_Import!$O317 &amp; APIF_Import!$I$1,Podesavanja!$AA$3:$AD$28, 4, 0), 0))</f>
        <v/>
      </c>
      <c r="J317" s="230" t="str">
        <f ca="1">IF( ISNA( VLOOKUP( APIF_Import!$O317 &amp; APIF_Import!$J$1,Podesavanja!$AA$3:$AD$28, 4, 0)), "", VLOOKUP( APIF_Import!$C317, INDIRECT( "Lookup_" &amp; APIF_Import!$M317:$O317), VLOOKUP( APIF_Import!$O317 &amp; APIF_Import!$J$1,Podesavanja!$AA$3:$AD$28, 4, 0), 0))</f>
        <v/>
      </c>
      <c r="K317" s="230" t="str">
        <f ca="1">IF( ISNA( VLOOKUP( APIF_Import!$O317 &amp; APIF_Import!$K$1,Podesavanja!$AA$3:$AD$28, 4, 0)), "", VLOOKUP( APIF_Import!$C317, INDIRECT( "Lookup_" &amp; APIF_Import!$M317:$O317), VLOOKUP( APIF_Import!$O317 &amp; APIF_Import!$K$1,Podesavanja!$AA$3:$AD$28, 4, 0), 0))</f>
        <v/>
      </c>
      <c r="L317" s="230" t="str">
        <f ca="1">IF( ISNA( VLOOKUP( APIF_Import!$O317 &amp; APIF_Import!$L$1,Podesavanja!$AA$3:$AD$28, 4, 0)), "", VLOOKUP( APIF_Import!$C317, INDIRECT( "Lookup_" &amp; APIF_Import!$M317:$O317), VLOOKUP( APIF_Import!$O317 &amp; APIF_Import!$L$1,Podesavanja!$AA$3:$AD$28, 4, 0), 0))</f>
        <v/>
      </c>
      <c r="M317" s="230" t="str">
        <f ca="1">IF( ISNA( VLOOKUP( APIF_Import!$O317 &amp; APIF_Import!$M$1,Podesavanja!$AA$3:$AD$28, 4, 0)), "", VLOOKUP( APIF_Import!$C317, INDIRECT( "Lookup_" &amp; APIF_Import!$M317:$O317), VLOOKUP( APIF_Import!$O317 &amp; APIF_Import!$M$1,Podesavanja!$AA$3:$AD$28, 4, 0), 0))</f>
        <v/>
      </c>
      <c r="N317" s="8">
        <v>318</v>
      </c>
      <c r="O317" s="49" t="s">
        <v>1537</v>
      </c>
    </row>
    <row r="318" spans="2:15">
      <c r="B318" s="44">
        <f ca="1">VLOOKUP( APIF_Import!$O318, Podesavanja!$N$3:$Q$9, 4, 0)</f>
        <v>5</v>
      </c>
      <c r="C318" s="229">
        <f ca="1">VLOOKUP( APIF_Import!$N318, Aop!$A$2:$P$456, 4, 0)</f>
        <v>536</v>
      </c>
      <c r="D318" s="230" t="str">
        <f ca="1">IF( ISNA( VLOOKUP( APIF_Import!$O318 &amp; APIF_Import!$D$1,Podesavanja!$AA$3:$AD$28, 4, 0)), "", SUBSTITUTE( VALUE( VLOOKUP( APIF_Import!$C318, INDIRECT( "Lookup_" &amp; APIF_Import!$O318), VLOOKUP( APIF_Import!$O318 &amp; APIF_Import!$D$1,Podesavanja!$AA$3:$AD$28, 4, 0), 0)), ".", ","))</f>
        <v>0</v>
      </c>
      <c r="E318" s="230">
        <f ca="1">IF( ISNA( VLOOKUP( APIF_Import!$O318 &amp; APIF_Import!$E$1,Podesavanja!$AA$3:$AD$28, 4, 0)), "", VLOOKUP( APIF_Import!$C318, INDIRECT( "Lookup_" &amp; APIF_Import!$O318), VLOOKUP( APIF_Import!$O318 &amp; APIF_Import!$E$1,Podesavanja!$AA$3:$AD$28, 4, 0), 0))</f>
        <v>0</v>
      </c>
      <c r="F318" s="230" t="str">
        <f ca="1">IF( ISNA( VLOOKUP( APIF_Import!$O318 &amp; APIF_Import!$F$1,Podesavanja!$AA$3:$AD$28, 4, 0)), "", VLOOKUP( APIF_Import!$C318, INDIRECT( "Lookup_" &amp; APIF_Import!$O318), VLOOKUP( APIF_Import!$O318 &amp; APIF_Import!$F$1,Podesavanja!$AA$3:$AD$28, 4, 0), 0))</f>
        <v/>
      </c>
      <c r="G318" s="230" t="str">
        <f ca="1">IF( ISNA( VLOOKUP( APIF_Import!$O318 &amp; APIF_Import!$G$1,Podesavanja!$AA$3:$AD$28, 4, 0)), "", VLOOKUP( APIF_Import!$C318, INDIRECT( "Lookup_" &amp; APIF_Import!$O318), VLOOKUP( APIF_Import!$O318 &amp; APIF_Import!$G$1,Podesavanja!$AA$3:$AD$28, 4, 0), 0))</f>
        <v/>
      </c>
      <c r="H318" s="230" t="str">
        <f ca="1">IF( ISNA( VLOOKUP( APIF_Import!$O318 &amp; APIF_Import!$H$1,Podesavanja!$AA$3:$AD$28, 4, 0)), "", VLOOKUP( APIF_Import!$C318, INDIRECT( "Lookup_" &amp; APIF_Import!$O318), VLOOKUP( APIF_Import!$O318 &amp; APIF_Import!$H$1,Podesavanja!$AA$3:$AD$28, 4, 0), 0))</f>
        <v/>
      </c>
      <c r="I318" s="230" t="str">
        <f ca="1">IF( ISNA( VLOOKUP( APIF_Import!$O318 &amp; APIF_Import!$I$1,Podesavanja!$AA$3:$AD$28, 4, 0)), "", VLOOKUP( APIF_Import!$C318, INDIRECT( "Lookup_" &amp; APIF_Import!$M318:$O318), VLOOKUP( APIF_Import!$O318 &amp; APIF_Import!$I$1,Podesavanja!$AA$3:$AD$28, 4, 0), 0))</f>
        <v/>
      </c>
      <c r="J318" s="230" t="str">
        <f ca="1">IF( ISNA( VLOOKUP( APIF_Import!$O318 &amp; APIF_Import!$J$1,Podesavanja!$AA$3:$AD$28, 4, 0)), "", VLOOKUP( APIF_Import!$C318, INDIRECT( "Lookup_" &amp; APIF_Import!$M318:$O318), VLOOKUP( APIF_Import!$O318 &amp; APIF_Import!$J$1,Podesavanja!$AA$3:$AD$28, 4, 0), 0))</f>
        <v/>
      </c>
      <c r="K318" s="230" t="str">
        <f ca="1">IF( ISNA( VLOOKUP( APIF_Import!$O318 &amp; APIF_Import!$K$1,Podesavanja!$AA$3:$AD$28, 4, 0)), "", VLOOKUP( APIF_Import!$C318, INDIRECT( "Lookup_" &amp; APIF_Import!$M318:$O318), VLOOKUP( APIF_Import!$O318 &amp; APIF_Import!$K$1,Podesavanja!$AA$3:$AD$28, 4, 0), 0))</f>
        <v/>
      </c>
      <c r="L318" s="230" t="str">
        <f ca="1">IF( ISNA( VLOOKUP( APIF_Import!$O318 &amp; APIF_Import!$L$1,Podesavanja!$AA$3:$AD$28, 4, 0)), "", VLOOKUP( APIF_Import!$C318, INDIRECT( "Lookup_" &amp; APIF_Import!$M318:$O318), VLOOKUP( APIF_Import!$O318 &amp; APIF_Import!$L$1,Podesavanja!$AA$3:$AD$28, 4, 0), 0))</f>
        <v/>
      </c>
      <c r="M318" s="230" t="str">
        <f ca="1">IF( ISNA( VLOOKUP( APIF_Import!$O318 &amp; APIF_Import!$M$1,Podesavanja!$AA$3:$AD$28, 4, 0)), "", VLOOKUP( APIF_Import!$C318, INDIRECT( "Lookup_" &amp; APIF_Import!$M318:$O318), VLOOKUP( APIF_Import!$O318 &amp; APIF_Import!$M$1,Podesavanja!$AA$3:$AD$28, 4, 0), 0))</f>
        <v/>
      </c>
      <c r="N318" s="8">
        <v>319</v>
      </c>
      <c r="O318" s="49" t="s">
        <v>1537</v>
      </c>
    </row>
    <row r="319" spans="2:15">
      <c r="B319" s="44">
        <f ca="1">VLOOKUP( APIF_Import!$O319, Podesavanja!$N$3:$Q$9, 4, 0)</f>
        <v>5</v>
      </c>
      <c r="C319" s="229">
        <f ca="1">VLOOKUP( APIF_Import!$N319, Aop!$A$2:$P$456, 4, 0)</f>
        <v>537</v>
      </c>
      <c r="D319" s="230" t="str">
        <f ca="1">IF( ISNA( VLOOKUP( APIF_Import!$O319 &amp; APIF_Import!$D$1,Podesavanja!$AA$3:$AD$28, 4, 0)), "", SUBSTITUTE( VALUE( VLOOKUP( APIF_Import!$C319, INDIRECT( "Lookup_" &amp; APIF_Import!$O319), VLOOKUP( APIF_Import!$O319 &amp; APIF_Import!$D$1,Podesavanja!$AA$3:$AD$28, 4, 0), 0)), ".", ","))</f>
        <v>0</v>
      </c>
      <c r="E319" s="230">
        <f ca="1">IF( ISNA( VLOOKUP( APIF_Import!$O319 &amp; APIF_Import!$E$1,Podesavanja!$AA$3:$AD$28, 4, 0)), "", VLOOKUP( APIF_Import!$C319, INDIRECT( "Lookup_" &amp; APIF_Import!$O319), VLOOKUP( APIF_Import!$O319 &amp; APIF_Import!$E$1,Podesavanja!$AA$3:$AD$28, 4, 0), 0))</f>
        <v>0</v>
      </c>
      <c r="F319" s="230" t="str">
        <f ca="1">IF( ISNA( VLOOKUP( APIF_Import!$O319 &amp; APIF_Import!$F$1,Podesavanja!$AA$3:$AD$28, 4, 0)), "", VLOOKUP( APIF_Import!$C319, INDIRECT( "Lookup_" &amp; APIF_Import!$O319), VLOOKUP( APIF_Import!$O319 &amp; APIF_Import!$F$1,Podesavanja!$AA$3:$AD$28, 4, 0), 0))</f>
        <v/>
      </c>
      <c r="G319" s="230" t="str">
        <f ca="1">IF( ISNA( VLOOKUP( APIF_Import!$O319 &amp; APIF_Import!$G$1,Podesavanja!$AA$3:$AD$28, 4, 0)), "", VLOOKUP( APIF_Import!$C319, INDIRECT( "Lookup_" &amp; APIF_Import!$O319), VLOOKUP( APIF_Import!$O319 &amp; APIF_Import!$G$1,Podesavanja!$AA$3:$AD$28, 4, 0), 0))</f>
        <v/>
      </c>
      <c r="H319" s="230" t="str">
        <f ca="1">IF( ISNA( VLOOKUP( APIF_Import!$O319 &amp; APIF_Import!$H$1,Podesavanja!$AA$3:$AD$28, 4, 0)), "", VLOOKUP( APIF_Import!$C319, INDIRECT( "Lookup_" &amp; APIF_Import!$O319), VLOOKUP( APIF_Import!$O319 &amp; APIF_Import!$H$1,Podesavanja!$AA$3:$AD$28, 4, 0), 0))</f>
        <v/>
      </c>
      <c r="I319" s="230" t="str">
        <f ca="1">IF( ISNA( VLOOKUP( APIF_Import!$O319 &amp; APIF_Import!$I$1,Podesavanja!$AA$3:$AD$28, 4, 0)), "", VLOOKUP( APIF_Import!$C319, INDIRECT( "Lookup_" &amp; APIF_Import!$M319:$O319), VLOOKUP( APIF_Import!$O319 &amp; APIF_Import!$I$1,Podesavanja!$AA$3:$AD$28, 4, 0), 0))</f>
        <v/>
      </c>
      <c r="J319" s="230" t="str">
        <f ca="1">IF( ISNA( VLOOKUP( APIF_Import!$O319 &amp; APIF_Import!$J$1,Podesavanja!$AA$3:$AD$28, 4, 0)), "", VLOOKUP( APIF_Import!$C319, INDIRECT( "Lookup_" &amp; APIF_Import!$M319:$O319), VLOOKUP( APIF_Import!$O319 &amp; APIF_Import!$J$1,Podesavanja!$AA$3:$AD$28, 4, 0), 0))</f>
        <v/>
      </c>
      <c r="K319" s="230" t="str">
        <f ca="1">IF( ISNA( VLOOKUP( APIF_Import!$O319 &amp; APIF_Import!$K$1,Podesavanja!$AA$3:$AD$28, 4, 0)), "", VLOOKUP( APIF_Import!$C319, INDIRECT( "Lookup_" &amp; APIF_Import!$M319:$O319), VLOOKUP( APIF_Import!$O319 &amp; APIF_Import!$K$1,Podesavanja!$AA$3:$AD$28, 4, 0), 0))</f>
        <v/>
      </c>
      <c r="L319" s="230" t="str">
        <f ca="1">IF( ISNA( VLOOKUP( APIF_Import!$O319 &amp; APIF_Import!$L$1,Podesavanja!$AA$3:$AD$28, 4, 0)), "", VLOOKUP( APIF_Import!$C319, INDIRECT( "Lookup_" &amp; APIF_Import!$M319:$O319), VLOOKUP( APIF_Import!$O319 &amp; APIF_Import!$L$1,Podesavanja!$AA$3:$AD$28, 4, 0), 0))</f>
        <v/>
      </c>
      <c r="M319" s="230" t="str">
        <f ca="1">IF( ISNA( VLOOKUP( APIF_Import!$O319 &amp; APIF_Import!$M$1,Podesavanja!$AA$3:$AD$28, 4, 0)), "", VLOOKUP( APIF_Import!$C319, INDIRECT( "Lookup_" &amp; APIF_Import!$M319:$O319), VLOOKUP( APIF_Import!$O319 &amp; APIF_Import!$M$1,Podesavanja!$AA$3:$AD$28, 4, 0), 0))</f>
        <v/>
      </c>
      <c r="N319" s="8">
        <v>320</v>
      </c>
      <c r="O319" s="49" t="s">
        <v>1537</v>
      </c>
    </row>
    <row r="320" spans="2:15">
      <c r="B320" s="44">
        <f ca="1">VLOOKUP( APIF_Import!$O320, Podesavanja!$N$3:$Q$9, 4, 0)</f>
        <v>5</v>
      </c>
      <c r="C320" s="229">
        <f ca="1">VLOOKUP( APIF_Import!$N320, Aop!$A$2:$P$456, 4, 0)</f>
        <v>538</v>
      </c>
      <c r="D320" s="230" t="str">
        <f ca="1">IF( ISNA( VLOOKUP( APIF_Import!$O320 &amp; APIF_Import!$D$1,Podesavanja!$AA$3:$AD$28, 4, 0)), "", SUBSTITUTE( VALUE( VLOOKUP( APIF_Import!$C320, INDIRECT( "Lookup_" &amp; APIF_Import!$O320), VLOOKUP( APIF_Import!$O320 &amp; APIF_Import!$D$1,Podesavanja!$AA$3:$AD$28, 4, 0), 0)), ".", ","))</f>
        <v>0</v>
      </c>
      <c r="E320" s="230">
        <f ca="1">IF( ISNA( VLOOKUP( APIF_Import!$O320 &amp; APIF_Import!$E$1,Podesavanja!$AA$3:$AD$28, 4, 0)), "", VLOOKUP( APIF_Import!$C320, INDIRECT( "Lookup_" &amp; APIF_Import!$O320), VLOOKUP( APIF_Import!$O320 &amp; APIF_Import!$E$1,Podesavanja!$AA$3:$AD$28, 4, 0), 0))</f>
        <v>0</v>
      </c>
      <c r="F320" s="230" t="str">
        <f ca="1">IF( ISNA( VLOOKUP( APIF_Import!$O320 &amp; APIF_Import!$F$1,Podesavanja!$AA$3:$AD$28, 4, 0)), "", VLOOKUP( APIF_Import!$C320, INDIRECT( "Lookup_" &amp; APIF_Import!$O320), VLOOKUP( APIF_Import!$O320 &amp; APIF_Import!$F$1,Podesavanja!$AA$3:$AD$28, 4, 0), 0))</f>
        <v/>
      </c>
      <c r="G320" s="230" t="str">
        <f ca="1">IF( ISNA( VLOOKUP( APIF_Import!$O320 &amp; APIF_Import!$G$1,Podesavanja!$AA$3:$AD$28, 4, 0)), "", VLOOKUP( APIF_Import!$C320, INDIRECT( "Lookup_" &amp; APIF_Import!$O320), VLOOKUP( APIF_Import!$O320 &amp; APIF_Import!$G$1,Podesavanja!$AA$3:$AD$28, 4, 0), 0))</f>
        <v/>
      </c>
      <c r="H320" s="230" t="str">
        <f ca="1">IF( ISNA( VLOOKUP( APIF_Import!$O320 &amp; APIF_Import!$H$1,Podesavanja!$AA$3:$AD$28, 4, 0)), "", VLOOKUP( APIF_Import!$C320, INDIRECT( "Lookup_" &amp; APIF_Import!$O320), VLOOKUP( APIF_Import!$O320 &amp; APIF_Import!$H$1,Podesavanja!$AA$3:$AD$28, 4, 0), 0))</f>
        <v/>
      </c>
      <c r="I320" s="230" t="str">
        <f ca="1">IF( ISNA( VLOOKUP( APIF_Import!$O320 &amp; APIF_Import!$I$1,Podesavanja!$AA$3:$AD$28, 4, 0)), "", VLOOKUP( APIF_Import!$C320, INDIRECT( "Lookup_" &amp; APIF_Import!$M320:$O320), VLOOKUP( APIF_Import!$O320 &amp; APIF_Import!$I$1,Podesavanja!$AA$3:$AD$28, 4, 0), 0))</f>
        <v/>
      </c>
      <c r="J320" s="230" t="str">
        <f ca="1">IF( ISNA( VLOOKUP( APIF_Import!$O320 &amp; APIF_Import!$J$1,Podesavanja!$AA$3:$AD$28, 4, 0)), "", VLOOKUP( APIF_Import!$C320, INDIRECT( "Lookup_" &amp; APIF_Import!$M320:$O320), VLOOKUP( APIF_Import!$O320 &amp; APIF_Import!$J$1,Podesavanja!$AA$3:$AD$28, 4, 0), 0))</f>
        <v/>
      </c>
      <c r="K320" s="230" t="str">
        <f ca="1">IF( ISNA( VLOOKUP( APIF_Import!$O320 &amp; APIF_Import!$K$1,Podesavanja!$AA$3:$AD$28, 4, 0)), "", VLOOKUP( APIF_Import!$C320, INDIRECT( "Lookup_" &amp; APIF_Import!$M320:$O320), VLOOKUP( APIF_Import!$O320 &amp; APIF_Import!$K$1,Podesavanja!$AA$3:$AD$28, 4, 0), 0))</f>
        <v/>
      </c>
      <c r="L320" s="230" t="str">
        <f ca="1">IF( ISNA( VLOOKUP( APIF_Import!$O320 &amp; APIF_Import!$L$1,Podesavanja!$AA$3:$AD$28, 4, 0)), "", VLOOKUP( APIF_Import!$C320, INDIRECT( "Lookup_" &amp; APIF_Import!$M320:$O320), VLOOKUP( APIF_Import!$O320 &amp; APIF_Import!$L$1,Podesavanja!$AA$3:$AD$28, 4, 0), 0))</f>
        <v/>
      </c>
      <c r="M320" s="230" t="str">
        <f ca="1">IF( ISNA( VLOOKUP( APIF_Import!$O320 &amp; APIF_Import!$M$1,Podesavanja!$AA$3:$AD$28, 4, 0)), "", VLOOKUP( APIF_Import!$C320, INDIRECT( "Lookup_" &amp; APIF_Import!$M320:$O320), VLOOKUP( APIF_Import!$O320 &amp; APIF_Import!$M$1,Podesavanja!$AA$3:$AD$28, 4, 0), 0))</f>
        <v/>
      </c>
      <c r="N320" s="8">
        <v>321</v>
      </c>
      <c r="O320" s="49" t="s">
        <v>1537</v>
      </c>
    </row>
    <row r="321" spans="2:15">
      <c r="B321" s="44">
        <f ca="1">VLOOKUP( APIF_Import!$O321, Podesavanja!$N$3:$Q$9, 4, 0)</f>
        <v>5</v>
      </c>
      <c r="C321" s="229">
        <f ca="1">VLOOKUP( APIF_Import!$N321, Aop!$A$2:$P$456, 4, 0)</f>
        <v>539</v>
      </c>
      <c r="D321" s="230" t="str">
        <f ca="1">IF( ISNA( VLOOKUP( APIF_Import!$O321 &amp; APIF_Import!$D$1,Podesavanja!$AA$3:$AD$28, 4, 0)), "", SUBSTITUTE( VALUE( VLOOKUP( APIF_Import!$C321, INDIRECT( "Lookup_" &amp; APIF_Import!$O321), VLOOKUP( APIF_Import!$O321 &amp; APIF_Import!$D$1,Podesavanja!$AA$3:$AD$28, 4, 0), 0)), ".", ","))</f>
        <v>0</v>
      </c>
      <c r="E321" s="230">
        <f ca="1">IF( ISNA( VLOOKUP( APIF_Import!$O321 &amp; APIF_Import!$E$1,Podesavanja!$AA$3:$AD$28, 4, 0)), "", VLOOKUP( APIF_Import!$C321, INDIRECT( "Lookup_" &amp; APIF_Import!$O321), VLOOKUP( APIF_Import!$O321 &amp; APIF_Import!$E$1,Podesavanja!$AA$3:$AD$28, 4, 0), 0))</f>
        <v>0</v>
      </c>
      <c r="F321" s="230" t="str">
        <f ca="1">IF( ISNA( VLOOKUP( APIF_Import!$O321 &amp; APIF_Import!$F$1,Podesavanja!$AA$3:$AD$28, 4, 0)), "", VLOOKUP( APIF_Import!$C321, INDIRECT( "Lookup_" &amp; APIF_Import!$O321), VLOOKUP( APIF_Import!$O321 &amp; APIF_Import!$F$1,Podesavanja!$AA$3:$AD$28, 4, 0), 0))</f>
        <v/>
      </c>
      <c r="G321" s="230" t="str">
        <f ca="1">IF( ISNA( VLOOKUP( APIF_Import!$O321 &amp; APIF_Import!$G$1,Podesavanja!$AA$3:$AD$28, 4, 0)), "", VLOOKUP( APIF_Import!$C321, INDIRECT( "Lookup_" &amp; APIF_Import!$O321), VLOOKUP( APIF_Import!$O321 &amp; APIF_Import!$G$1,Podesavanja!$AA$3:$AD$28, 4, 0), 0))</f>
        <v/>
      </c>
      <c r="H321" s="230" t="str">
        <f ca="1">IF( ISNA( VLOOKUP( APIF_Import!$O321 &amp; APIF_Import!$H$1,Podesavanja!$AA$3:$AD$28, 4, 0)), "", VLOOKUP( APIF_Import!$C321, INDIRECT( "Lookup_" &amp; APIF_Import!$O321), VLOOKUP( APIF_Import!$O321 &amp; APIF_Import!$H$1,Podesavanja!$AA$3:$AD$28, 4, 0), 0))</f>
        <v/>
      </c>
      <c r="I321" s="230" t="str">
        <f ca="1">IF( ISNA( VLOOKUP( APIF_Import!$O321 &amp; APIF_Import!$I$1,Podesavanja!$AA$3:$AD$28, 4, 0)), "", VLOOKUP( APIF_Import!$C321, INDIRECT( "Lookup_" &amp; APIF_Import!$M321:$O321), VLOOKUP( APIF_Import!$O321 &amp; APIF_Import!$I$1,Podesavanja!$AA$3:$AD$28, 4, 0), 0))</f>
        <v/>
      </c>
      <c r="J321" s="230" t="str">
        <f ca="1">IF( ISNA( VLOOKUP( APIF_Import!$O321 &amp; APIF_Import!$J$1,Podesavanja!$AA$3:$AD$28, 4, 0)), "", VLOOKUP( APIF_Import!$C321, INDIRECT( "Lookup_" &amp; APIF_Import!$M321:$O321), VLOOKUP( APIF_Import!$O321 &amp; APIF_Import!$J$1,Podesavanja!$AA$3:$AD$28, 4, 0), 0))</f>
        <v/>
      </c>
      <c r="K321" s="230" t="str">
        <f ca="1">IF( ISNA( VLOOKUP( APIF_Import!$O321 &amp; APIF_Import!$K$1,Podesavanja!$AA$3:$AD$28, 4, 0)), "", VLOOKUP( APIF_Import!$C321, INDIRECT( "Lookup_" &amp; APIF_Import!$M321:$O321), VLOOKUP( APIF_Import!$O321 &amp; APIF_Import!$K$1,Podesavanja!$AA$3:$AD$28, 4, 0), 0))</f>
        <v/>
      </c>
      <c r="L321" s="230" t="str">
        <f ca="1">IF( ISNA( VLOOKUP( APIF_Import!$O321 &amp; APIF_Import!$L$1,Podesavanja!$AA$3:$AD$28, 4, 0)), "", VLOOKUP( APIF_Import!$C321, INDIRECT( "Lookup_" &amp; APIF_Import!$M321:$O321), VLOOKUP( APIF_Import!$O321 &amp; APIF_Import!$L$1,Podesavanja!$AA$3:$AD$28, 4, 0), 0))</f>
        <v/>
      </c>
      <c r="M321" s="230" t="str">
        <f ca="1">IF( ISNA( VLOOKUP( APIF_Import!$O321 &amp; APIF_Import!$M$1,Podesavanja!$AA$3:$AD$28, 4, 0)), "", VLOOKUP( APIF_Import!$C321, INDIRECT( "Lookup_" &amp; APIF_Import!$M321:$O321), VLOOKUP( APIF_Import!$O321 &amp; APIF_Import!$M$1,Podesavanja!$AA$3:$AD$28, 4, 0), 0))</f>
        <v/>
      </c>
      <c r="N321" s="8">
        <v>322</v>
      </c>
      <c r="O321" s="49" t="s">
        <v>1537</v>
      </c>
    </row>
    <row r="322" spans="2:15">
      <c r="B322" s="44">
        <f ca="1">VLOOKUP( APIF_Import!$O322, Podesavanja!$N$3:$Q$9, 4, 0)</f>
        <v>5</v>
      </c>
      <c r="C322" s="229">
        <f ca="1">VLOOKUP( APIF_Import!$N322, Aop!$A$2:$P$456, 4, 0)</f>
        <v>540</v>
      </c>
      <c r="D322" s="230" t="str">
        <f ca="1">IF( ISNA( VLOOKUP( APIF_Import!$O322 &amp; APIF_Import!$D$1,Podesavanja!$AA$3:$AD$28, 4, 0)), "", SUBSTITUTE( VALUE( VLOOKUP( APIF_Import!$C322, INDIRECT( "Lookup_" &amp; APIF_Import!$O322), VLOOKUP( APIF_Import!$O322 &amp; APIF_Import!$D$1,Podesavanja!$AA$3:$AD$28, 4, 0), 0)), ".", ","))</f>
        <v>0</v>
      </c>
      <c r="E322" s="230">
        <f ca="1">IF( ISNA( VLOOKUP( APIF_Import!$O322 &amp; APIF_Import!$E$1,Podesavanja!$AA$3:$AD$28, 4, 0)), "", VLOOKUP( APIF_Import!$C322, INDIRECT( "Lookup_" &amp; APIF_Import!$O322), VLOOKUP( APIF_Import!$O322 &amp; APIF_Import!$E$1,Podesavanja!$AA$3:$AD$28, 4, 0), 0))</f>
        <v>0</v>
      </c>
      <c r="F322" s="230" t="str">
        <f ca="1">IF( ISNA( VLOOKUP( APIF_Import!$O322 &amp; APIF_Import!$F$1,Podesavanja!$AA$3:$AD$28, 4, 0)), "", VLOOKUP( APIF_Import!$C322, INDIRECT( "Lookup_" &amp; APIF_Import!$O322), VLOOKUP( APIF_Import!$O322 &amp; APIF_Import!$F$1,Podesavanja!$AA$3:$AD$28, 4, 0), 0))</f>
        <v/>
      </c>
      <c r="G322" s="230" t="str">
        <f ca="1">IF( ISNA( VLOOKUP( APIF_Import!$O322 &amp; APIF_Import!$G$1,Podesavanja!$AA$3:$AD$28, 4, 0)), "", VLOOKUP( APIF_Import!$C322, INDIRECT( "Lookup_" &amp; APIF_Import!$O322), VLOOKUP( APIF_Import!$O322 &amp; APIF_Import!$G$1,Podesavanja!$AA$3:$AD$28, 4, 0), 0))</f>
        <v/>
      </c>
      <c r="H322" s="230" t="str">
        <f ca="1">IF( ISNA( VLOOKUP( APIF_Import!$O322 &amp; APIF_Import!$H$1,Podesavanja!$AA$3:$AD$28, 4, 0)), "", VLOOKUP( APIF_Import!$C322, INDIRECT( "Lookup_" &amp; APIF_Import!$O322), VLOOKUP( APIF_Import!$O322 &amp; APIF_Import!$H$1,Podesavanja!$AA$3:$AD$28, 4, 0), 0))</f>
        <v/>
      </c>
      <c r="I322" s="230" t="str">
        <f ca="1">IF( ISNA( VLOOKUP( APIF_Import!$O322 &amp; APIF_Import!$I$1,Podesavanja!$AA$3:$AD$28, 4, 0)), "", VLOOKUP( APIF_Import!$C322, INDIRECT( "Lookup_" &amp; APIF_Import!$M322:$O322), VLOOKUP( APIF_Import!$O322 &amp; APIF_Import!$I$1,Podesavanja!$AA$3:$AD$28, 4, 0), 0))</f>
        <v/>
      </c>
      <c r="J322" s="230" t="str">
        <f ca="1">IF( ISNA( VLOOKUP( APIF_Import!$O322 &amp; APIF_Import!$J$1,Podesavanja!$AA$3:$AD$28, 4, 0)), "", VLOOKUP( APIF_Import!$C322, INDIRECT( "Lookup_" &amp; APIF_Import!$M322:$O322), VLOOKUP( APIF_Import!$O322 &amp; APIF_Import!$J$1,Podesavanja!$AA$3:$AD$28, 4, 0), 0))</f>
        <v/>
      </c>
      <c r="K322" s="230" t="str">
        <f ca="1">IF( ISNA( VLOOKUP( APIF_Import!$O322 &amp; APIF_Import!$K$1,Podesavanja!$AA$3:$AD$28, 4, 0)), "", VLOOKUP( APIF_Import!$C322, INDIRECT( "Lookup_" &amp; APIF_Import!$M322:$O322), VLOOKUP( APIF_Import!$O322 &amp; APIF_Import!$K$1,Podesavanja!$AA$3:$AD$28, 4, 0), 0))</f>
        <v/>
      </c>
      <c r="L322" s="230" t="str">
        <f ca="1">IF( ISNA( VLOOKUP( APIF_Import!$O322 &amp; APIF_Import!$L$1,Podesavanja!$AA$3:$AD$28, 4, 0)), "", VLOOKUP( APIF_Import!$C322, INDIRECT( "Lookup_" &amp; APIF_Import!$M322:$O322), VLOOKUP( APIF_Import!$O322 &amp; APIF_Import!$L$1,Podesavanja!$AA$3:$AD$28, 4, 0), 0))</f>
        <v/>
      </c>
      <c r="M322" s="230" t="str">
        <f ca="1">IF( ISNA( VLOOKUP( APIF_Import!$O322 &amp; APIF_Import!$M$1,Podesavanja!$AA$3:$AD$28, 4, 0)), "", VLOOKUP( APIF_Import!$C322, INDIRECT( "Lookup_" &amp; APIF_Import!$M322:$O322), VLOOKUP( APIF_Import!$O322 &amp; APIF_Import!$M$1,Podesavanja!$AA$3:$AD$28, 4, 0), 0))</f>
        <v/>
      </c>
      <c r="N322" s="8">
        <v>323</v>
      </c>
      <c r="O322" s="49" t="s">
        <v>1537</v>
      </c>
    </row>
    <row r="323" spans="2:15">
      <c r="B323" s="44">
        <f ca="1">VLOOKUP( APIF_Import!$O323, Podesavanja!$N$3:$Q$9, 4, 0)</f>
        <v>5</v>
      </c>
      <c r="C323" s="229">
        <f ca="1">VLOOKUP( APIF_Import!$N323, Aop!$A$2:$P$456, 4, 0)</f>
        <v>541</v>
      </c>
      <c r="D323" s="230" t="str">
        <f ca="1">IF( ISNA( VLOOKUP( APIF_Import!$O323 &amp; APIF_Import!$D$1,Podesavanja!$AA$3:$AD$28, 4, 0)), "", SUBSTITUTE( VALUE( VLOOKUP( APIF_Import!$C323, INDIRECT( "Lookup_" &amp; APIF_Import!$O323), VLOOKUP( APIF_Import!$O323 &amp; APIF_Import!$D$1,Podesavanja!$AA$3:$AD$28, 4, 0), 0)), ".", ","))</f>
        <v>349062</v>
      </c>
      <c r="E323" s="230">
        <f ca="1">IF( ISNA( VLOOKUP( APIF_Import!$O323 &amp; APIF_Import!$E$1,Podesavanja!$AA$3:$AD$28, 4, 0)), "", VLOOKUP( APIF_Import!$C323, INDIRECT( "Lookup_" &amp; APIF_Import!$O323), VLOOKUP( APIF_Import!$O323 &amp; APIF_Import!$E$1,Podesavanja!$AA$3:$AD$28, 4, 0), 0))</f>
        <v>0</v>
      </c>
      <c r="F323" s="230" t="str">
        <f ca="1">IF( ISNA( VLOOKUP( APIF_Import!$O323 &amp; APIF_Import!$F$1,Podesavanja!$AA$3:$AD$28, 4, 0)), "", VLOOKUP( APIF_Import!$C323, INDIRECT( "Lookup_" &amp; APIF_Import!$O323), VLOOKUP( APIF_Import!$O323 &amp; APIF_Import!$F$1,Podesavanja!$AA$3:$AD$28, 4, 0), 0))</f>
        <v/>
      </c>
      <c r="G323" s="230" t="str">
        <f ca="1">IF( ISNA( VLOOKUP( APIF_Import!$O323 &amp; APIF_Import!$G$1,Podesavanja!$AA$3:$AD$28, 4, 0)), "", VLOOKUP( APIF_Import!$C323, INDIRECT( "Lookup_" &amp; APIF_Import!$O323), VLOOKUP( APIF_Import!$O323 &amp; APIF_Import!$G$1,Podesavanja!$AA$3:$AD$28, 4, 0), 0))</f>
        <v/>
      </c>
      <c r="H323" s="230" t="str">
        <f ca="1">IF( ISNA( VLOOKUP( APIF_Import!$O323 &amp; APIF_Import!$H$1,Podesavanja!$AA$3:$AD$28, 4, 0)), "", VLOOKUP( APIF_Import!$C323, INDIRECT( "Lookup_" &amp; APIF_Import!$O323), VLOOKUP( APIF_Import!$O323 &amp; APIF_Import!$H$1,Podesavanja!$AA$3:$AD$28, 4, 0), 0))</f>
        <v/>
      </c>
      <c r="I323" s="230" t="str">
        <f ca="1">IF( ISNA( VLOOKUP( APIF_Import!$O323 &amp; APIF_Import!$I$1,Podesavanja!$AA$3:$AD$28, 4, 0)), "", VLOOKUP( APIF_Import!$C323, INDIRECT( "Lookup_" &amp; APIF_Import!$M323:$O323), VLOOKUP( APIF_Import!$O323 &amp; APIF_Import!$I$1,Podesavanja!$AA$3:$AD$28, 4, 0), 0))</f>
        <v/>
      </c>
      <c r="J323" s="230" t="str">
        <f ca="1">IF( ISNA( VLOOKUP( APIF_Import!$O323 &amp; APIF_Import!$J$1,Podesavanja!$AA$3:$AD$28, 4, 0)), "", VLOOKUP( APIF_Import!$C323, INDIRECT( "Lookup_" &amp; APIF_Import!$M323:$O323), VLOOKUP( APIF_Import!$O323 &amp; APIF_Import!$J$1,Podesavanja!$AA$3:$AD$28, 4, 0), 0))</f>
        <v/>
      </c>
      <c r="K323" s="230" t="str">
        <f ca="1">IF( ISNA( VLOOKUP( APIF_Import!$O323 &amp; APIF_Import!$K$1,Podesavanja!$AA$3:$AD$28, 4, 0)), "", VLOOKUP( APIF_Import!$C323, INDIRECT( "Lookup_" &amp; APIF_Import!$M323:$O323), VLOOKUP( APIF_Import!$O323 &amp; APIF_Import!$K$1,Podesavanja!$AA$3:$AD$28, 4, 0), 0))</f>
        <v/>
      </c>
      <c r="L323" s="230" t="str">
        <f ca="1">IF( ISNA( VLOOKUP( APIF_Import!$O323 &amp; APIF_Import!$L$1,Podesavanja!$AA$3:$AD$28, 4, 0)), "", VLOOKUP( APIF_Import!$C323, INDIRECT( "Lookup_" &amp; APIF_Import!$M323:$O323), VLOOKUP( APIF_Import!$O323 &amp; APIF_Import!$L$1,Podesavanja!$AA$3:$AD$28, 4, 0), 0))</f>
        <v/>
      </c>
      <c r="M323" s="230" t="str">
        <f ca="1">IF( ISNA( VLOOKUP( APIF_Import!$O323 &amp; APIF_Import!$M$1,Podesavanja!$AA$3:$AD$28, 4, 0)), "", VLOOKUP( APIF_Import!$C323, INDIRECT( "Lookup_" &amp; APIF_Import!$M323:$O323), VLOOKUP( APIF_Import!$O323 &amp; APIF_Import!$M$1,Podesavanja!$AA$3:$AD$28, 4, 0), 0))</f>
        <v/>
      </c>
      <c r="N323" s="8">
        <v>324</v>
      </c>
      <c r="O323" s="49" t="s">
        <v>1537</v>
      </c>
    </row>
    <row r="324" spans="2:15">
      <c r="B324" s="44">
        <f ca="1">VLOOKUP( APIF_Import!$O324, Podesavanja!$N$3:$Q$9, 4, 0)</f>
        <v>5</v>
      </c>
      <c r="C324" s="229">
        <f ca="1">VLOOKUP( APIF_Import!$N324, Aop!$A$2:$P$456, 4, 0)</f>
        <v>542</v>
      </c>
      <c r="D324" s="230" t="str">
        <f ca="1">IF( ISNA( VLOOKUP( APIF_Import!$O324 &amp; APIF_Import!$D$1,Podesavanja!$AA$3:$AD$28, 4, 0)), "", SUBSTITUTE( VALUE( VLOOKUP( APIF_Import!$C324, INDIRECT( "Lookup_" &amp; APIF_Import!$O324), VLOOKUP( APIF_Import!$O324 &amp; APIF_Import!$D$1,Podesavanja!$AA$3:$AD$28, 4, 0), 0)), ".", ","))</f>
        <v>16735939</v>
      </c>
      <c r="E324" s="230">
        <f ca="1">IF( ISNA( VLOOKUP( APIF_Import!$O324 &amp; APIF_Import!$E$1,Podesavanja!$AA$3:$AD$28, 4, 0)), "", VLOOKUP( APIF_Import!$C324, INDIRECT( "Lookup_" &amp; APIF_Import!$O324), VLOOKUP( APIF_Import!$O324 &amp; APIF_Import!$E$1,Podesavanja!$AA$3:$AD$28, 4, 0), 0))</f>
        <v>0</v>
      </c>
      <c r="F324" s="230" t="str">
        <f ca="1">IF( ISNA( VLOOKUP( APIF_Import!$O324 &amp; APIF_Import!$F$1,Podesavanja!$AA$3:$AD$28, 4, 0)), "", VLOOKUP( APIF_Import!$C324, INDIRECT( "Lookup_" &amp; APIF_Import!$O324), VLOOKUP( APIF_Import!$O324 &amp; APIF_Import!$F$1,Podesavanja!$AA$3:$AD$28, 4, 0), 0))</f>
        <v/>
      </c>
      <c r="G324" s="230" t="str">
        <f ca="1">IF( ISNA( VLOOKUP( APIF_Import!$O324 &amp; APIF_Import!$G$1,Podesavanja!$AA$3:$AD$28, 4, 0)), "", VLOOKUP( APIF_Import!$C324, INDIRECT( "Lookup_" &amp; APIF_Import!$O324), VLOOKUP( APIF_Import!$O324 &amp; APIF_Import!$G$1,Podesavanja!$AA$3:$AD$28, 4, 0), 0))</f>
        <v/>
      </c>
      <c r="H324" s="230" t="str">
        <f ca="1">IF( ISNA( VLOOKUP( APIF_Import!$O324 &amp; APIF_Import!$H$1,Podesavanja!$AA$3:$AD$28, 4, 0)), "", VLOOKUP( APIF_Import!$C324, INDIRECT( "Lookup_" &amp; APIF_Import!$O324), VLOOKUP( APIF_Import!$O324 &amp; APIF_Import!$H$1,Podesavanja!$AA$3:$AD$28, 4, 0), 0))</f>
        <v/>
      </c>
      <c r="I324" s="230" t="str">
        <f ca="1">IF( ISNA( VLOOKUP( APIF_Import!$O324 &amp; APIF_Import!$I$1,Podesavanja!$AA$3:$AD$28, 4, 0)), "", VLOOKUP( APIF_Import!$C324, INDIRECT( "Lookup_" &amp; APIF_Import!$M324:$O324), VLOOKUP( APIF_Import!$O324 &amp; APIF_Import!$I$1,Podesavanja!$AA$3:$AD$28, 4, 0), 0))</f>
        <v/>
      </c>
      <c r="J324" s="230" t="str">
        <f ca="1">IF( ISNA( VLOOKUP( APIF_Import!$O324 &amp; APIF_Import!$J$1,Podesavanja!$AA$3:$AD$28, 4, 0)), "", VLOOKUP( APIF_Import!$C324, INDIRECT( "Lookup_" &amp; APIF_Import!$M324:$O324), VLOOKUP( APIF_Import!$O324 &amp; APIF_Import!$J$1,Podesavanja!$AA$3:$AD$28, 4, 0), 0))</f>
        <v/>
      </c>
      <c r="K324" s="230" t="str">
        <f ca="1">IF( ISNA( VLOOKUP( APIF_Import!$O324 &amp; APIF_Import!$K$1,Podesavanja!$AA$3:$AD$28, 4, 0)), "", VLOOKUP( APIF_Import!$C324, INDIRECT( "Lookup_" &amp; APIF_Import!$M324:$O324), VLOOKUP( APIF_Import!$O324 &amp; APIF_Import!$K$1,Podesavanja!$AA$3:$AD$28, 4, 0), 0))</f>
        <v/>
      </c>
      <c r="L324" s="230" t="str">
        <f ca="1">IF( ISNA( VLOOKUP( APIF_Import!$O324 &amp; APIF_Import!$L$1,Podesavanja!$AA$3:$AD$28, 4, 0)), "", VLOOKUP( APIF_Import!$C324, INDIRECT( "Lookup_" &amp; APIF_Import!$M324:$O324), VLOOKUP( APIF_Import!$O324 &amp; APIF_Import!$L$1,Podesavanja!$AA$3:$AD$28, 4, 0), 0))</f>
        <v/>
      </c>
      <c r="M324" s="230" t="str">
        <f ca="1">IF( ISNA( VLOOKUP( APIF_Import!$O324 &amp; APIF_Import!$M$1,Podesavanja!$AA$3:$AD$28, 4, 0)), "", VLOOKUP( APIF_Import!$C324, INDIRECT( "Lookup_" &amp; APIF_Import!$M324:$O324), VLOOKUP( APIF_Import!$O324 &amp; APIF_Import!$M$1,Podesavanja!$AA$3:$AD$28, 4, 0), 0))</f>
        <v/>
      </c>
      <c r="N324" s="8">
        <v>325</v>
      </c>
      <c r="O324" s="49" t="s">
        <v>1537</v>
      </c>
    </row>
    <row r="325" spans="2:15">
      <c r="B325" s="44">
        <f ca="1">VLOOKUP( APIF_Import!$O325, Podesavanja!$N$3:$Q$9, 4, 0)</f>
        <v>5</v>
      </c>
      <c r="C325" s="229">
        <f ca="1">VLOOKUP( APIF_Import!$N325, Aop!$A$2:$P$456, 4, 0)</f>
        <v>543</v>
      </c>
      <c r="D325" s="230" t="str">
        <f ca="1">IF( ISNA( VLOOKUP( APIF_Import!$O325 &amp; APIF_Import!$D$1,Podesavanja!$AA$3:$AD$28, 4, 0)), "", SUBSTITUTE( VALUE( VLOOKUP( APIF_Import!$C325, INDIRECT( "Lookup_" &amp; APIF_Import!$O325), VLOOKUP( APIF_Import!$O325 &amp; APIF_Import!$D$1,Podesavanja!$AA$3:$AD$28, 4, 0), 0)), ".", ","))</f>
        <v>0</v>
      </c>
      <c r="E325" s="230">
        <f ca="1">IF( ISNA( VLOOKUP( APIF_Import!$O325 &amp; APIF_Import!$E$1,Podesavanja!$AA$3:$AD$28, 4, 0)), "", VLOOKUP( APIF_Import!$C325, INDIRECT( "Lookup_" &amp; APIF_Import!$O325), VLOOKUP( APIF_Import!$O325 &amp; APIF_Import!$E$1,Podesavanja!$AA$3:$AD$28, 4, 0), 0))</f>
        <v>0</v>
      </c>
      <c r="F325" s="230" t="str">
        <f ca="1">IF( ISNA( VLOOKUP( APIF_Import!$O325 &amp; APIF_Import!$F$1,Podesavanja!$AA$3:$AD$28, 4, 0)), "", VLOOKUP( APIF_Import!$C325, INDIRECT( "Lookup_" &amp; APIF_Import!$O325), VLOOKUP( APIF_Import!$O325 &amp; APIF_Import!$F$1,Podesavanja!$AA$3:$AD$28, 4, 0), 0))</f>
        <v/>
      </c>
      <c r="G325" s="230" t="str">
        <f ca="1">IF( ISNA( VLOOKUP( APIF_Import!$O325 &amp; APIF_Import!$G$1,Podesavanja!$AA$3:$AD$28, 4, 0)), "", VLOOKUP( APIF_Import!$C325, INDIRECT( "Lookup_" &amp; APIF_Import!$O325), VLOOKUP( APIF_Import!$O325 &amp; APIF_Import!$G$1,Podesavanja!$AA$3:$AD$28, 4, 0), 0))</f>
        <v/>
      </c>
      <c r="H325" s="230" t="str">
        <f ca="1">IF( ISNA( VLOOKUP( APIF_Import!$O325 &amp; APIF_Import!$H$1,Podesavanja!$AA$3:$AD$28, 4, 0)), "", VLOOKUP( APIF_Import!$C325, INDIRECT( "Lookup_" &amp; APIF_Import!$O325), VLOOKUP( APIF_Import!$O325 &amp; APIF_Import!$H$1,Podesavanja!$AA$3:$AD$28, 4, 0), 0))</f>
        <v/>
      </c>
      <c r="I325" s="230" t="str">
        <f ca="1">IF( ISNA( VLOOKUP( APIF_Import!$O325 &amp; APIF_Import!$I$1,Podesavanja!$AA$3:$AD$28, 4, 0)), "", VLOOKUP( APIF_Import!$C325, INDIRECT( "Lookup_" &amp; APIF_Import!$M325:$O325), VLOOKUP( APIF_Import!$O325 &amp; APIF_Import!$I$1,Podesavanja!$AA$3:$AD$28, 4, 0), 0))</f>
        <v/>
      </c>
      <c r="J325" s="230" t="str">
        <f ca="1">IF( ISNA( VLOOKUP( APIF_Import!$O325 &amp; APIF_Import!$J$1,Podesavanja!$AA$3:$AD$28, 4, 0)), "", VLOOKUP( APIF_Import!$C325, INDIRECT( "Lookup_" &amp; APIF_Import!$M325:$O325), VLOOKUP( APIF_Import!$O325 &amp; APIF_Import!$J$1,Podesavanja!$AA$3:$AD$28, 4, 0), 0))</f>
        <v/>
      </c>
      <c r="K325" s="230" t="str">
        <f ca="1">IF( ISNA( VLOOKUP( APIF_Import!$O325 &amp; APIF_Import!$K$1,Podesavanja!$AA$3:$AD$28, 4, 0)), "", VLOOKUP( APIF_Import!$C325, INDIRECT( "Lookup_" &amp; APIF_Import!$M325:$O325), VLOOKUP( APIF_Import!$O325 &amp; APIF_Import!$K$1,Podesavanja!$AA$3:$AD$28, 4, 0), 0))</f>
        <v/>
      </c>
      <c r="L325" s="230" t="str">
        <f ca="1">IF( ISNA( VLOOKUP( APIF_Import!$O325 &amp; APIF_Import!$L$1,Podesavanja!$AA$3:$AD$28, 4, 0)), "", VLOOKUP( APIF_Import!$C325, INDIRECT( "Lookup_" &amp; APIF_Import!$M325:$O325), VLOOKUP( APIF_Import!$O325 &amp; APIF_Import!$L$1,Podesavanja!$AA$3:$AD$28, 4, 0), 0))</f>
        <v/>
      </c>
      <c r="M325" s="230" t="str">
        <f ca="1">IF( ISNA( VLOOKUP( APIF_Import!$O325 &amp; APIF_Import!$M$1,Podesavanja!$AA$3:$AD$28, 4, 0)), "", VLOOKUP( APIF_Import!$C325, INDIRECT( "Lookup_" &amp; APIF_Import!$M325:$O325), VLOOKUP( APIF_Import!$O325 &amp; APIF_Import!$M$1,Podesavanja!$AA$3:$AD$28, 4, 0), 0))</f>
        <v/>
      </c>
      <c r="N325" s="8">
        <v>326</v>
      </c>
      <c r="O325" s="49" t="s">
        <v>1537</v>
      </c>
    </row>
    <row r="326" spans="2:15">
      <c r="B326" s="44">
        <f ca="1">VLOOKUP( APIF_Import!$O326, Podesavanja!$N$3:$Q$9, 4, 0)</f>
        <v>5</v>
      </c>
      <c r="C326" s="229">
        <f ca="1">VLOOKUP( APIF_Import!$N326, Aop!$A$2:$P$456, 4, 0)</f>
        <v>544</v>
      </c>
      <c r="D326" s="230" t="str">
        <f ca="1">IF( ISNA( VLOOKUP( APIF_Import!$O326 &amp; APIF_Import!$D$1,Podesavanja!$AA$3:$AD$28, 4, 0)), "", SUBSTITUTE( VALUE( VLOOKUP( APIF_Import!$C326, INDIRECT( "Lookup_" &amp; APIF_Import!$O326), VLOOKUP( APIF_Import!$O326 &amp; APIF_Import!$D$1,Podesavanja!$AA$3:$AD$28, 4, 0), 0)), ".", ","))</f>
        <v>15649283</v>
      </c>
      <c r="E326" s="230">
        <f ca="1">IF( ISNA( VLOOKUP( APIF_Import!$O326 &amp; APIF_Import!$E$1,Podesavanja!$AA$3:$AD$28, 4, 0)), "", VLOOKUP( APIF_Import!$C326, INDIRECT( "Lookup_" &amp; APIF_Import!$O326), VLOOKUP( APIF_Import!$O326 &amp; APIF_Import!$E$1,Podesavanja!$AA$3:$AD$28, 4, 0), 0))</f>
        <v>500000</v>
      </c>
      <c r="F326" s="230" t="str">
        <f ca="1">IF( ISNA( VLOOKUP( APIF_Import!$O326 &amp; APIF_Import!$F$1,Podesavanja!$AA$3:$AD$28, 4, 0)), "", VLOOKUP( APIF_Import!$C326, INDIRECT( "Lookup_" &amp; APIF_Import!$O326), VLOOKUP( APIF_Import!$O326 &amp; APIF_Import!$F$1,Podesavanja!$AA$3:$AD$28, 4, 0), 0))</f>
        <v/>
      </c>
      <c r="G326" s="230" t="str">
        <f ca="1">IF( ISNA( VLOOKUP( APIF_Import!$O326 &amp; APIF_Import!$G$1,Podesavanja!$AA$3:$AD$28, 4, 0)), "", VLOOKUP( APIF_Import!$C326, INDIRECT( "Lookup_" &amp; APIF_Import!$O326), VLOOKUP( APIF_Import!$O326 &amp; APIF_Import!$G$1,Podesavanja!$AA$3:$AD$28, 4, 0), 0))</f>
        <v/>
      </c>
      <c r="H326" s="230" t="str">
        <f ca="1">IF( ISNA( VLOOKUP( APIF_Import!$O326 &amp; APIF_Import!$H$1,Podesavanja!$AA$3:$AD$28, 4, 0)), "", VLOOKUP( APIF_Import!$C326, INDIRECT( "Lookup_" &amp; APIF_Import!$O326), VLOOKUP( APIF_Import!$O326 &amp; APIF_Import!$H$1,Podesavanja!$AA$3:$AD$28, 4, 0), 0))</f>
        <v/>
      </c>
      <c r="I326" s="230" t="str">
        <f ca="1">IF( ISNA( VLOOKUP( APIF_Import!$O326 &amp; APIF_Import!$I$1,Podesavanja!$AA$3:$AD$28, 4, 0)), "", VLOOKUP( APIF_Import!$C326, INDIRECT( "Lookup_" &amp; APIF_Import!$M326:$O326), VLOOKUP( APIF_Import!$O326 &amp; APIF_Import!$I$1,Podesavanja!$AA$3:$AD$28, 4, 0), 0))</f>
        <v/>
      </c>
      <c r="J326" s="230" t="str">
        <f ca="1">IF( ISNA( VLOOKUP( APIF_Import!$O326 &amp; APIF_Import!$J$1,Podesavanja!$AA$3:$AD$28, 4, 0)), "", VLOOKUP( APIF_Import!$C326, INDIRECT( "Lookup_" &amp; APIF_Import!$M326:$O326), VLOOKUP( APIF_Import!$O326 &amp; APIF_Import!$J$1,Podesavanja!$AA$3:$AD$28, 4, 0), 0))</f>
        <v/>
      </c>
      <c r="K326" s="230" t="str">
        <f ca="1">IF( ISNA( VLOOKUP( APIF_Import!$O326 &amp; APIF_Import!$K$1,Podesavanja!$AA$3:$AD$28, 4, 0)), "", VLOOKUP( APIF_Import!$C326, INDIRECT( "Lookup_" &amp; APIF_Import!$M326:$O326), VLOOKUP( APIF_Import!$O326 &amp; APIF_Import!$K$1,Podesavanja!$AA$3:$AD$28, 4, 0), 0))</f>
        <v/>
      </c>
      <c r="L326" s="230" t="str">
        <f ca="1">IF( ISNA( VLOOKUP( APIF_Import!$O326 &amp; APIF_Import!$L$1,Podesavanja!$AA$3:$AD$28, 4, 0)), "", VLOOKUP( APIF_Import!$C326, INDIRECT( "Lookup_" &amp; APIF_Import!$M326:$O326), VLOOKUP( APIF_Import!$O326 &amp; APIF_Import!$L$1,Podesavanja!$AA$3:$AD$28, 4, 0), 0))</f>
        <v/>
      </c>
      <c r="M326" s="230" t="str">
        <f ca="1">IF( ISNA( VLOOKUP( APIF_Import!$O326 &amp; APIF_Import!$M$1,Podesavanja!$AA$3:$AD$28, 4, 0)), "", VLOOKUP( APIF_Import!$C326, INDIRECT( "Lookup_" &amp; APIF_Import!$M326:$O326), VLOOKUP( APIF_Import!$O326 &amp; APIF_Import!$M$1,Podesavanja!$AA$3:$AD$28, 4, 0), 0))</f>
        <v/>
      </c>
      <c r="N326" s="8">
        <v>327</v>
      </c>
      <c r="O326" s="49" t="s">
        <v>1537</v>
      </c>
    </row>
    <row r="327" spans="2:15">
      <c r="B327" s="44">
        <f ca="1">VLOOKUP( APIF_Import!$O327, Podesavanja!$N$3:$Q$9, 4, 0)</f>
        <v>5</v>
      </c>
      <c r="C327" s="229">
        <f ca="1">VLOOKUP( APIF_Import!$N327, Aop!$A$2:$P$456, 4, 0)</f>
        <v>545</v>
      </c>
      <c r="D327" s="230" t="str">
        <f ca="1">IF( ISNA( VLOOKUP( APIF_Import!$O327 &amp; APIF_Import!$D$1,Podesavanja!$AA$3:$AD$28, 4, 0)), "", SUBSTITUTE( VALUE( VLOOKUP( APIF_Import!$C327, INDIRECT( "Lookup_" &amp; APIF_Import!$O327), VLOOKUP( APIF_Import!$O327 &amp; APIF_Import!$D$1,Podesavanja!$AA$3:$AD$28, 4, 0), 0)), ".", ","))</f>
        <v>0</v>
      </c>
      <c r="E327" s="230">
        <f ca="1">IF( ISNA( VLOOKUP( APIF_Import!$O327 &amp; APIF_Import!$E$1,Podesavanja!$AA$3:$AD$28, 4, 0)), "", VLOOKUP( APIF_Import!$C327, INDIRECT( "Lookup_" &amp; APIF_Import!$O327), VLOOKUP( APIF_Import!$O327 &amp; APIF_Import!$E$1,Podesavanja!$AA$3:$AD$28, 4, 0), 0))</f>
        <v>0</v>
      </c>
      <c r="F327" s="230" t="str">
        <f ca="1">IF( ISNA( VLOOKUP( APIF_Import!$O327 &amp; APIF_Import!$F$1,Podesavanja!$AA$3:$AD$28, 4, 0)), "", VLOOKUP( APIF_Import!$C327, INDIRECT( "Lookup_" &amp; APIF_Import!$O327), VLOOKUP( APIF_Import!$O327 &amp; APIF_Import!$F$1,Podesavanja!$AA$3:$AD$28, 4, 0), 0))</f>
        <v/>
      </c>
      <c r="G327" s="230" t="str">
        <f ca="1">IF( ISNA( VLOOKUP( APIF_Import!$O327 &amp; APIF_Import!$G$1,Podesavanja!$AA$3:$AD$28, 4, 0)), "", VLOOKUP( APIF_Import!$C327, INDIRECT( "Lookup_" &amp; APIF_Import!$O327), VLOOKUP( APIF_Import!$O327 &amp; APIF_Import!$G$1,Podesavanja!$AA$3:$AD$28, 4, 0), 0))</f>
        <v/>
      </c>
      <c r="H327" s="230" t="str">
        <f ca="1">IF( ISNA( VLOOKUP( APIF_Import!$O327 &amp; APIF_Import!$H$1,Podesavanja!$AA$3:$AD$28, 4, 0)), "", VLOOKUP( APIF_Import!$C327, INDIRECT( "Lookup_" &amp; APIF_Import!$O327), VLOOKUP( APIF_Import!$O327 &amp; APIF_Import!$H$1,Podesavanja!$AA$3:$AD$28, 4, 0), 0))</f>
        <v/>
      </c>
      <c r="I327" s="230" t="str">
        <f ca="1">IF( ISNA( VLOOKUP( APIF_Import!$O327 &amp; APIF_Import!$I$1,Podesavanja!$AA$3:$AD$28, 4, 0)), "", VLOOKUP( APIF_Import!$C327, INDIRECT( "Lookup_" &amp; APIF_Import!$M327:$O327), VLOOKUP( APIF_Import!$O327 &amp; APIF_Import!$I$1,Podesavanja!$AA$3:$AD$28, 4, 0), 0))</f>
        <v/>
      </c>
      <c r="J327" s="230" t="str">
        <f ca="1">IF( ISNA( VLOOKUP( APIF_Import!$O327 &amp; APIF_Import!$J$1,Podesavanja!$AA$3:$AD$28, 4, 0)), "", VLOOKUP( APIF_Import!$C327, INDIRECT( "Lookup_" &amp; APIF_Import!$M327:$O327), VLOOKUP( APIF_Import!$O327 &amp; APIF_Import!$J$1,Podesavanja!$AA$3:$AD$28, 4, 0), 0))</f>
        <v/>
      </c>
      <c r="K327" s="230" t="str">
        <f ca="1">IF( ISNA( VLOOKUP( APIF_Import!$O327 &amp; APIF_Import!$K$1,Podesavanja!$AA$3:$AD$28, 4, 0)), "", VLOOKUP( APIF_Import!$C327, INDIRECT( "Lookup_" &amp; APIF_Import!$M327:$O327), VLOOKUP( APIF_Import!$O327 &amp; APIF_Import!$K$1,Podesavanja!$AA$3:$AD$28, 4, 0), 0))</f>
        <v/>
      </c>
      <c r="L327" s="230" t="str">
        <f ca="1">IF( ISNA( VLOOKUP( APIF_Import!$O327 &amp; APIF_Import!$L$1,Podesavanja!$AA$3:$AD$28, 4, 0)), "", VLOOKUP( APIF_Import!$C327, INDIRECT( "Lookup_" &amp; APIF_Import!$M327:$O327), VLOOKUP( APIF_Import!$O327 &amp; APIF_Import!$L$1,Podesavanja!$AA$3:$AD$28, 4, 0), 0))</f>
        <v/>
      </c>
      <c r="M327" s="230" t="str">
        <f ca="1">IF( ISNA( VLOOKUP( APIF_Import!$O327 &amp; APIF_Import!$M$1,Podesavanja!$AA$3:$AD$28, 4, 0)), "", VLOOKUP( APIF_Import!$C327, INDIRECT( "Lookup_" &amp; APIF_Import!$M327:$O327), VLOOKUP( APIF_Import!$O327 &amp; APIF_Import!$M$1,Podesavanja!$AA$3:$AD$28, 4, 0), 0))</f>
        <v/>
      </c>
      <c r="N327" s="8">
        <v>328</v>
      </c>
      <c r="O327" s="49" t="s">
        <v>1537</v>
      </c>
    </row>
    <row r="328" spans="2:15">
      <c r="B328" s="44">
        <f ca="1">VLOOKUP( APIF_Import!$O328, Podesavanja!$N$3:$Q$9, 4, 0)</f>
        <v>5</v>
      </c>
      <c r="C328" s="229">
        <f ca="1">VLOOKUP( APIF_Import!$N328, Aop!$A$2:$P$456, 4, 0)</f>
        <v>546</v>
      </c>
      <c r="D328" s="230" t="str">
        <f ca="1">IF( ISNA( VLOOKUP( APIF_Import!$O328 &amp; APIF_Import!$D$1,Podesavanja!$AA$3:$AD$28, 4, 0)), "", SUBSTITUTE( VALUE( VLOOKUP( APIF_Import!$C328, INDIRECT( "Lookup_" &amp; APIF_Import!$O328), VLOOKUP( APIF_Import!$O328 &amp; APIF_Import!$D$1,Podesavanja!$AA$3:$AD$28, 4, 0), 0)), ".", ","))</f>
        <v>0</v>
      </c>
      <c r="E328" s="230">
        <f ca="1">IF( ISNA( VLOOKUP( APIF_Import!$O328 &amp; APIF_Import!$E$1,Podesavanja!$AA$3:$AD$28, 4, 0)), "", VLOOKUP( APIF_Import!$C328, INDIRECT( "Lookup_" &amp; APIF_Import!$O328), VLOOKUP( APIF_Import!$O328 &amp; APIF_Import!$E$1,Podesavanja!$AA$3:$AD$28, 4, 0), 0))</f>
        <v>0</v>
      </c>
      <c r="F328" s="230" t="str">
        <f ca="1">IF( ISNA( VLOOKUP( APIF_Import!$O328 &amp; APIF_Import!$F$1,Podesavanja!$AA$3:$AD$28, 4, 0)), "", VLOOKUP( APIF_Import!$C328, INDIRECT( "Lookup_" &amp; APIF_Import!$O328), VLOOKUP( APIF_Import!$O328 &amp; APIF_Import!$F$1,Podesavanja!$AA$3:$AD$28, 4, 0), 0))</f>
        <v/>
      </c>
      <c r="G328" s="230" t="str">
        <f ca="1">IF( ISNA( VLOOKUP( APIF_Import!$O328 &amp; APIF_Import!$G$1,Podesavanja!$AA$3:$AD$28, 4, 0)), "", VLOOKUP( APIF_Import!$C328, INDIRECT( "Lookup_" &amp; APIF_Import!$O328), VLOOKUP( APIF_Import!$O328 &amp; APIF_Import!$G$1,Podesavanja!$AA$3:$AD$28, 4, 0), 0))</f>
        <v/>
      </c>
      <c r="H328" s="230" t="str">
        <f ca="1">IF( ISNA( VLOOKUP( APIF_Import!$O328 &amp; APIF_Import!$H$1,Podesavanja!$AA$3:$AD$28, 4, 0)), "", VLOOKUP( APIF_Import!$C328, INDIRECT( "Lookup_" &amp; APIF_Import!$O328), VLOOKUP( APIF_Import!$O328 &amp; APIF_Import!$H$1,Podesavanja!$AA$3:$AD$28, 4, 0), 0))</f>
        <v/>
      </c>
      <c r="I328" s="230" t="str">
        <f ca="1">IF( ISNA( VLOOKUP( APIF_Import!$O328 &amp; APIF_Import!$I$1,Podesavanja!$AA$3:$AD$28, 4, 0)), "", VLOOKUP( APIF_Import!$C328, INDIRECT( "Lookup_" &amp; APIF_Import!$M328:$O328), VLOOKUP( APIF_Import!$O328 &amp; APIF_Import!$I$1,Podesavanja!$AA$3:$AD$28, 4, 0), 0))</f>
        <v/>
      </c>
      <c r="J328" s="230" t="str">
        <f ca="1">IF( ISNA( VLOOKUP( APIF_Import!$O328 &amp; APIF_Import!$J$1,Podesavanja!$AA$3:$AD$28, 4, 0)), "", VLOOKUP( APIF_Import!$C328, INDIRECT( "Lookup_" &amp; APIF_Import!$M328:$O328), VLOOKUP( APIF_Import!$O328 &amp; APIF_Import!$J$1,Podesavanja!$AA$3:$AD$28, 4, 0), 0))</f>
        <v/>
      </c>
      <c r="K328" s="230" t="str">
        <f ca="1">IF( ISNA( VLOOKUP( APIF_Import!$O328 &amp; APIF_Import!$K$1,Podesavanja!$AA$3:$AD$28, 4, 0)), "", VLOOKUP( APIF_Import!$C328, INDIRECT( "Lookup_" &amp; APIF_Import!$M328:$O328), VLOOKUP( APIF_Import!$O328 &amp; APIF_Import!$K$1,Podesavanja!$AA$3:$AD$28, 4, 0), 0))</f>
        <v/>
      </c>
      <c r="L328" s="230" t="str">
        <f ca="1">IF( ISNA( VLOOKUP( APIF_Import!$O328 &amp; APIF_Import!$L$1,Podesavanja!$AA$3:$AD$28, 4, 0)), "", VLOOKUP( APIF_Import!$C328, INDIRECT( "Lookup_" &amp; APIF_Import!$M328:$O328), VLOOKUP( APIF_Import!$O328 &amp; APIF_Import!$L$1,Podesavanja!$AA$3:$AD$28, 4, 0), 0))</f>
        <v/>
      </c>
      <c r="M328" s="230" t="str">
        <f ca="1">IF( ISNA( VLOOKUP( APIF_Import!$O328 &amp; APIF_Import!$M$1,Podesavanja!$AA$3:$AD$28, 4, 0)), "", VLOOKUP( APIF_Import!$C328, INDIRECT( "Lookup_" &amp; APIF_Import!$M328:$O328), VLOOKUP( APIF_Import!$O328 &amp; APIF_Import!$M$1,Podesavanja!$AA$3:$AD$28, 4, 0), 0))</f>
        <v/>
      </c>
      <c r="N328" s="8">
        <v>329</v>
      </c>
      <c r="O328" s="49" t="s">
        <v>1537</v>
      </c>
    </row>
    <row r="329" spans="2:15">
      <c r="B329" s="44">
        <f ca="1">VLOOKUP( APIF_Import!$O329, Podesavanja!$N$3:$Q$9, 4, 0)</f>
        <v>5</v>
      </c>
      <c r="C329" s="229">
        <f ca="1">VLOOKUP( APIF_Import!$N329, Aop!$A$2:$P$456, 4, 0)</f>
        <v>547</v>
      </c>
      <c r="D329" s="230" t="str">
        <f ca="1">IF( ISNA( VLOOKUP( APIF_Import!$O329 &amp; APIF_Import!$D$1,Podesavanja!$AA$3:$AD$28, 4, 0)), "", SUBSTITUTE( VALUE( VLOOKUP( APIF_Import!$C329, INDIRECT( "Lookup_" &amp; APIF_Import!$O329), VLOOKUP( APIF_Import!$O329 &amp; APIF_Import!$D$1,Podesavanja!$AA$3:$AD$28, 4, 0), 0)), ".", ","))</f>
        <v>0</v>
      </c>
      <c r="E329" s="230">
        <f ca="1">IF( ISNA( VLOOKUP( APIF_Import!$O329 &amp; APIF_Import!$E$1,Podesavanja!$AA$3:$AD$28, 4, 0)), "", VLOOKUP( APIF_Import!$C329, INDIRECT( "Lookup_" &amp; APIF_Import!$O329), VLOOKUP( APIF_Import!$O329 &amp; APIF_Import!$E$1,Podesavanja!$AA$3:$AD$28, 4, 0), 0))</f>
        <v>0</v>
      </c>
      <c r="F329" s="230" t="str">
        <f ca="1">IF( ISNA( VLOOKUP( APIF_Import!$O329 &amp; APIF_Import!$F$1,Podesavanja!$AA$3:$AD$28, 4, 0)), "", VLOOKUP( APIF_Import!$C329, INDIRECT( "Lookup_" &amp; APIF_Import!$O329), VLOOKUP( APIF_Import!$O329 &amp; APIF_Import!$F$1,Podesavanja!$AA$3:$AD$28, 4, 0), 0))</f>
        <v/>
      </c>
      <c r="G329" s="230" t="str">
        <f ca="1">IF( ISNA( VLOOKUP( APIF_Import!$O329 &amp; APIF_Import!$G$1,Podesavanja!$AA$3:$AD$28, 4, 0)), "", VLOOKUP( APIF_Import!$C329, INDIRECT( "Lookup_" &amp; APIF_Import!$O329), VLOOKUP( APIF_Import!$O329 &amp; APIF_Import!$G$1,Podesavanja!$AA$3:$AD$28, 4, 0), 0))</f>
        <v/>
      </c>
      <c r="H329" s="230" t="str">
        <f ca="1">IF( ISNA( VLOOKUP( APIF_Import!$O329 &amp; APIF_Import!$H$1,Podesavanja!$AA$3:$AD$28, 4, 0)), "", VLOOKUP( APIF_Import!$C329, INDIRECT( "Lookup_" &amp; APIF_Import!$O329), VLOOKUP( APIF_Import!$O329 &amp; APIF_Import!$H$1,Podesavanja!$AA$3:$AD$28, 4, 0), 0))</f>
        <v/>
      </c>
      <c r="I329" s="230" t="str">
        <f ca="1">IF( ISNA( VLOOKUP( APIF_Import!$O329 &amp; APIF_Import!$I$1,Podesavanja!$AA$3:$AD$28, 4, 0)), "", VLOOKUP( APIF_Import!$C329, INDIRECT( "Lookup_" &amp; APIF_Import!$M329:$O329), VLOOKUP( APIF_Import!$O329 &amp; APIF_Import!$I$1,Podesavanja!$AA$3:$AD$28, 4, 0), 0))</f>
        <v/>
      </c>
      <c r="J329" s="230" t="str">
        <f ca="1">IF( ISNA( VLOOKUP( APIF_Import!$O329 &amp; APIF_Import!$J$1,Podesavanja!$AA$3:$AD$28, 4, 0)), "", VLOOKUP( APIF_Import!$C329, INDIRECT( "Lookup_" &amp; APIF_Import!$M329:$O329), VLOOKUP( APIF_Import!$O329 &amp; APIF_Import!$J$1,Podesavanja!$AA$3:$AD$28, 4, 0), 0))</f>
        <v/>
      </c>
      <c r="K329" s="230" t="str">
        <f ca="1">IF( ISNA( VLOOKUP( APIF_Import!$O329 &amp; APIF_Import!$K$1,Podesavanja!$AA$3:$AD$28, 4, 0)), "", VLOOKUP( APIF_Import!$C329, INDIRECT( "Lookup_" &amp; APIF_Import!$M329:$O329), VLOOKUP( APIF_Import!$O329 &amp; APIF_Import!$K$1,Podesavanja!$AA$3:$AD$28, 4, 0), 0))</f>
        <v/>
      </c>
      <c r="L329" s="230" t="str">
        <f ca="1">IF( ISNA( VLOOKUP( APIF_Import!$O329 &amp; APIF_Import!$L$1,Podesavanja!$AA$3:$AD$28, 4, 0)), "", VLOOKUP( APIF_Import!$C329, INDIRECT( "Lookup_" &amp; APIF_Import!$M329:$O329), VLOOKUP( APIF_Import!$O329 &amp; APIF_Import!$L$1,Podesavanja!$AA$3:$AD$28, 4, 0), 0))</f>
        <v/>
      </c>
      <c r="M329" s="230" t="str">
        <f ca="1">IF( ISNA( VLOOKUP( APIF_Import!$O329 &amp; APIF_Import!$M$1,Podesavanja!$AA$3:$AD$28, 4, 0)), "", VLOOKUP( APIF_Import!$C329, INDIRECT( "Lookup_" &amp; APIF_Import!$M329:$O329), VLOOKUP( APIF_Import!$O329 &amp; APIF_Import!$M$1,Podesavanja!$AA$3:$AD$28, 4, 0), 0))</f>
        <v/>
      </c>
      <c r="N329" s="8">
        <v>330</v>
      </c>
      <c r="O329" s="49" t="s">
        <v>1537</v>
      </c>
    </row>
    <row r="330" spans="2:15">
      <c r="B330" s="44">
        <f ca="1">VLOOKUP( APIF_Import!$O330, Podesavanja!$N$3:$Q$9, 4, 0)</f>
        <v>5</v>
      </c>
      <c r="C330" s="229">
        <f ca="1">VLOOKUP( APIF_Import!$N330, Aop!$A$2:$P$456, 4, 0)</f>
        <v>548</v>
      </c>
      <c r="D330" s="230" t="str">
        <f ca="1">IF( ISNA( VLOOKUP( APIF_Import!$O330 &amp; APIF_Import!$D$1,Podesavanja!$AA$3:$AD$28, 4, 0)), "", SUBSTITUTE( VALUE( VLOOKUP( APIF_Import!$C330, INDIRECT( "Lookup_" &amp; APIF_Import!$O330), VLOOKUP( APIF_Import!$O330 &amp; APIF_Import!$D$1,Podesavanja!$AA$3:$AD$28, 4, 0), 0)), ".", ","))</f>
        <v>0</v>
      </c>
      <c r="E330" s="230">
        <f ca="1">IF( ISNA( VLOOKUP( APIF_Import!$O330 &amp; APIF_Import!$E$1,Podesavanja!$AA$3:$AD$28, 4, 0)), "", VLOOKUP( APIF_Import!$C330, INDIRECT( "Lookup_" &amp; APIF_Import!$O330), VLOOKUP( APIF_Import!$O330 &amp; APIF_Import!$E$1,Podesavanja!$AA$3:$AD$28, 4, 0), 0))</f>
        <v>0</v>
      </c>
      <c r="F330" s="230" t="str">
        <f ca="1">IF( ISNA( VLOOKUP( APIF_Import!$O330 &amp; APIF_Import!$F$1,Podesavanja!$AA$3:$AD$28, 4, 0)), "", VLOOKUP( APIF_Import!$C330, INDIRECT( "Lookup_" &amp; APIF_Import!$O330), VLOOKUP( APIF_Import!$O330 &amp; APIF_Import!$F$1,Podesavanja!$AA$3:$AD$28, 4, 0), 0))</f>
        <v/>
      </c>
      <c r="G330" s="230" t="str">
        <f ca="1">IF( ISNA( VLOOKUP( APIF_Import!$O330 &amp; APIF_Import!$G$1,Podesavanja!$AA$3:$AD$28, 4, 0)), "", VLOOKUP( APIF_Import!$C330, INDIRECT( "Lookup_" &amp; APIF_Import!$O330), VLOOKUP( APIF_Import!$O330 &amp; APIF_Import!$G$1,Podesavanja!$AA$3:$AD$28, 4, 0), 0))</f>
        <v/>
      </c>
      <c r="H330" s="230" t="str">
        <f ca="1">IF( ISNA( VLOOKUP( APIF_Import!$O330 &amp; APIF_Import!$H$1,Podesavanja!$AA$3:$AD$28, 4, 0)), "", VLOOKUP( APIF_Import!$C330, INDIRECT( "Lookup_" &amp; APIF_Import!$O330), VLOOKUP( APIF_Import!$O330 &amp; APIF_Import!$H$1,Podesavanja!$AA$3:$AD$28, 4, 0), 0))</f>
        <v/>
      </c>
      <c r="I330" s="230" t="str">
        <f ca="1">IF( ISNA( VLOOKUP( APIF_Import!$O330 &amp; APIF_Import!$I$1,Podesavanja!$AA$3:$AD$28, 4, 0)), "", VLOOKUP( APIF_Import!$C330, INDIRECT( "Lookup_" &amp; APIF_Import!$M330:$O330), VLOOKUP( APIF_Import!$O330 &amp; APIF_Import!$I$1,Podesavanja!$AA$3:$AD$28, 4, 0), 0))</f>
        <v/>
      </c>
      <c r="J330" s="230" t="str">
        <f ca="1">IF( ISNA( VLOOKUP( APIF_Import!$O330 &amp; APIF_Import!$J$1,Podesavanja!$AA$3:$AD$28, 4, 0)), "", VLOOKUP( APIF_Import!$C330, INDIRECT( "Lookup_" &amp; APIF_Import!$M330:$O330), VLOOKUP( APIF_Import!$O330 &amp; APIF_Import!$J$1,Podesavanja!$AA$3:$AD$28, 4, 0), 0))</f>
        <v/>
      </c>
      <c r="K330" s="230" t="str">
        <f ca="1">IF( ISNA( VLOOKUP( APIF_Import!$O330 &amp; APIF_Import!$K$1,Podesavanja!$AA$3:$AD$28, 4, 0)), "", VLOOKUP( APIF_Import!$C330, INDIRECT( "Lookup_" &amp; APIF_Import!$M330:$O330), VLOOKUP( APIF_Import!$O330 &amp; APIF_Import!$K$1,Podesavanja!$AA$3:$AD$28, 4, 0), 0))</f>
        <v/>
      </c>
      <c r="L330" s="230" t="str">
        <f ca="1">IF( ISNA( VLOOKUP( APIF_Import!$O330 &amp; APIF_Import!$L$1,Podesavanja!$AA$3:$AD$28, 4, 0)), "", VLOOKUP( APIF_Import!$C330, INDIRECT( "Lookup_" &amp; APIF_Import!$M330:$O330), VLOOKUP( APIF_Import!$O330 &amp; APIF_Import!$L$1,Podesavanja!$AA$3:$AD$28, 4, 0), 0))</f>
        <v/>
      </c>
      <c r="M330" s="230" t="str">
        <f ca="1">IF( ISNA( VLOOKUP( APIF_Import!$O330 &amp; APIF_Import!$M$1,Podesavanja!$AA$3:$AD$28, 4, 0)), "", VLOOKUP( APIF_Import!$C330, INDIRECT( "Lookup_" &amp; APIF_Import!$M330:$O330), VLOOKUP( APIF_Import!$O330 &amp; APIF_Import!$M$1,Podesavanja!$AA$3:$AD$28, 4, 0), 0))</f>
        <v/>
      </c>
      <c r="N330" s="8">
        <v>331</v>
      </c>
      <c r="O330" s="49" t="s">
        <v>1537</v>
      </c>
    </row>
    <row r="331" spans="2:15">
      <c r="B331" s="44">
        <f ca="1">VLOOKUP( APIF_Import!$O331, Podesavanja!$N$3:$Q$9, 4, 0)</f>
        <v>5</v>
      </c>
      <c r="C331" s="229">
        <f ca="1">VLOOKUP( APIF_Import!$N331, Aop!$A$2:$P$456, 4, 0)</f>
        <v>549</v>
      </c>
      <c r="D331" s="230" t="str">
        <f ca="1">IF( ISNA( VLOOKUP( APIF_Import!$O331 &amp; APIF_Import!$D$1,Podesavanja!$AA$3:$AD$28, 4, 0)), "", SUBSTITUTE( VALUE( VLOOKUP( APIF_Import!$C331, INDIRECT( "Lookup_" &amp; APIF_Import!$O331), VLOOKUP( APIF_Import!$O331 &amp; APIF_Import!$D$1,Podesavanja!$AA$3:$AD$28, 4, 0), 0)), ".", ","))</f>
        <v>0</v>
      </c>
      <c r="E331" s="230">
        <f ca="1">IF( ISNA( VLOOKUP( APIF_Import!$O331 &amp; APIF_Import!$E$1,Podesavanja!$AA$3:$AD$28, 4, 0)), "", VLOOKUP( APIF_Import!$C331, INDIRECT( "Lookup_" &amp; APIF_Import!$O331), VLOOKUP( APIF_Import!$O331 &amp; APIF_Import!$E$1,Podesavanja!$AA$3:$AD$28, 4, 0), 0))</f>
        <v>0</v>
      </c>
      <c r="F331" s="230" t="str">
        <f ca="1">IF( ISNA( VLOOKUP( APIF_Import!$O331 &amp; APIF_Import!$F$1,Podesavanja!$AA$3:$AD$28, 4, 0)), "", VLOOKUP( APIF_Import!$C331, INDIRECT( "Lookup_" &amp; APIF_Import!$O331), VLOOKUP( APIF_Import!$O331 &amp; APIF_Import!$F$1,Podesavanja!$AA$3:$AD$28, 4, 0), 0))</f>
        <v/>
      </c>
      <c r="G331" s="230" t="str">
        <f ca="1">IF( ISNA( VLOOKUP( APIF_Import!$O331 &amp; APIF_Import!$G$1,Podesavanja!$AA$3:$AD$28, 4, 0)), "", VLOOKUP( APIF_Import!$C331, INDIRECT( "Lookup_" &amp; APIF_Import!$O331), VLOOKUP( APIF_Import!$O331 &amp; APIF_Import!$G$1,Podesavanja!$AA$3:$AD$28, 4, 0), 0))</f>
        <v/>
      </c>
      <c r="H331" s="230" t="str">
        <f ca="1">IF( ISNA( VLOOKUP( APIF_Import!$O331 &amp; APIF_Import!$H$1,Podesavanja!$AA$3:$AD$28, 4, 0)), "", VLOOKUP( APIF_Import!$C331, INDIRECT( "Lookup_" &amp; APIF_Import!$O331), VLOOKUP( APIF_Import!$O331 &amp; APIF_Import!$H$1,Podesavanja!$AA$3:$AD$28, 4, 0), 0))</f>
        <v/>
      </c>
      <c r="I331" s="230" t="str">
        <f ca="1">IF( ISNA( VLOOKUP( APIF_Import!$O331 &amp; APIF_Import!$I$1,Podesavanja!$AA$3:$AD$28, 4, 0)), "", VLOOKUP( APIF_Import!$C331, INDIRECT( "Lookup_" &amp; APIF_Import!$M331:$O331), VLOOKUP( APIF_Import!$O331 &amp; APIF_Import!$I$1,Podesavanja!$AA$3:$AD$28, 4, 0), 0))</f>
        <v/>
      </c>
      <c r="J331" s="230" t="str">
        <f ca="1">IF( ISNA( VLOOKUP( APIF_Import!$O331 &amp; APIF_Import!$J$1,Podesavanja!$AA$3:$AD$28, 4, 0)), "", VLOOKUP( APIF_Import!$C331, INDIRECT( "Lookup_" &amp; APIF_Import!$M331:$O331), VLOOKUP( APIF_Import!$O331 &amp; APIF_Import!$J$1,Podesavanja!$AA$3:$AD$28, 4, 0), 0))</f>
        <v/>
      </c>
      <c r="K331" s="230" t="str">
        <f ca="1">IF( ISNA( VLOOKUP( APIF_Import!$O331 &amp; APIF_Import!$K$1,Podesavanja!$AA$3:$AD$28, 4, 0)), "", VLOOKUP( APIF_Import!$C331, INDIRECT( "Lookup_" &amp; APIF_Import!$M331:$O331), VLOOKUP( APIF_Import!$O331 &amp; APIF_Import!$K$1,Podesavanja!$AA$3:$AD$28, 4, 0), 0))</f>
        <v/>
      </c>
      <c r="L331" s="230" t="str">
        <f ca="1">IF( ISNA( VLOOKUP( APIF_Import!$O331 &amp; APIF_Import!$L$1,Podesavanja!$AA$3:$AD$28, 4, 0)), "", VLOOKUP( APIF_Import!$C331, INDIRECT( "Lookup_" &amp; APIF_Import!$M331:$O331), VLOOKUP( APIF_Import!$O331 &amp; APIF_Import!$L$1,Podesavanja!$AA$3:$AD$28, 4, 0), 0))</f>
        <v/>
      </c>
      <c r="M331" s="230" t="str">
        <f ca="1">IF( ISNA( VLOOKUP( APIF_Import!$O331 &amp; APIF_Import!$M$1,Podesavanja!$AA$3:$AD$28, 4, 0)), "", VLOOKUP( APIF_Import!$C331, INDIRECT( "Lookup_" &amp; APIF_Import!$M331:$O331), VLOOKUP( APIF_Import!$O331 &amp; APIF_Import!$M$1,Podesavanja!$AA$3:$AD$28, 4, 0), 0))</f>
        <v/>
      </c>
      <c r="N331" s="8">
        <v>332</v>
      </c>
      <c r="O331" s="49" t="s">
        <v>1537</v>
      </c>
    </row>
    <row r="332" spans="2:15">
      <c r="B332" s="44">
        <f ca="1">VLOOKUP( APIF_Import!$O332, Podesavanja!$N$3:$Q$9, 4, 0)</f>
        <v>5</v>
      </c>
      <c r="C332" s="229">
        <f ca="1">VLOOKUP( APIF_Import!$N332, Aop!$A$2:$P$456, 4, 0)</f>
        <v>550</v>
      </c>
      <c r="D332" s="230" t="str">
        <f ca="1">IF( ISNA( VLOOKUP( APIF_Import!$O332 &amp; APIF_Import!$D$1,Podesavanja!$AA$3:$AD$28, 4, 0)), "", SUBSTITUTE( VALUE( VLOOKUP( APIF_Import!$C332, INDIRECT( "Lookup_" &amp; APIF_Import!$O332), VLOOKUP( APIF_Import!$O332 &amp; APIF_Import!$D$1,Podesavanja!$AA$3:$AD$28, 4, 0), 0)), ".", ","))</f>
        <v>15649283</v>
      </c>
      <c r="E332" s="230">
        <f ca="1">IF( ISNA( VLOOKUP( APIF_Import!$O332 &amp; APIF_Import!$E$1,Podesavanja!$AA$3:$AD$28, 4, 0)), "", VLOOKUP( APIF_Import!$C332, INDIRECT( "Lookup_" &amp; APIF_Import!$O332), VLOOKUP( APIF_Import!$O332 &amp; APIF_Import!$E$1,Podesavanja!$AA$3:$AD$28, 4, 0), 0))</f>
        <v>500000</v>
      </c>
      <c r="F332" s="230" t="str">
        <f ca="1">IF( ISNA( VLOOKUP( APIF_Import!$O332 &amp; APIF_Import!$F$1,Podesavanja!$AA$3:$AD$28, 4, 0)), "", VLOOKUP( APIF_Import!$C332, INDIRECT( "Lookup_" &amp; APIF_Import!$O332), VLOOKUP( APIF_Import!$O332 &amp; APIF_Import!$F$1,Podesavanja!$AA$3:$AD$28, 4, 0), 0))</f>
        <v/>
      </c>
      <c r="G332" s="230" t="str">
        <f ca="1">IF( ISNA( VLOOKUP( APIF_Import!$O332 &amp; APIF_Import!$G$1,Podesavanja!$AA$3:$AD$28, 4, 0)), "", VLOOKUP( APIF_Import!$C332, INDIRECT( "Lookup_" &amp; APIF_Import!$O332), VLOOKUP( APIF_Import!$O332 &amp; APIF_Import!$G$1,Podesavanja!$AA$3:$AD$28, 4, 0), 0))</f>
        <v/>
      </c>
      <c r="H332" s="230" t="str">
        <f ca="1">IF( ISNA( VLOOKUP( APIF_Import!$O332 &amp; APIF_Import!$H$1,Podesavanja!$AA$3:$AD$28, 4, 0)), "", VLOOKUP( APIF_Import!$C332, INDIRECT( "Lookup_" &amp; APIF_Import!$O332), VLOOKUP( APIF_Import!$O332 &amp; APIF_Import!$H$1,Podesavanja!$AA$3:$AD$28, 4, 0), 0))</f>
        <v/>
      </c>
      <c r="I332" s="230" t="str">
        <f ca="1">IF( ISNA( VLOOKUP( APIF_Import!$O332 &amp; APIF_Import!$I$1,Podesavanja!$AA$3:$AD$28, 4, 0)), "", VLOOKUP( APIF_Import!$C332, INDIRECT( "Lookup_" &amp; APIF_Import!$M332:$O332), VLOOKUP( APIF_Import!$O332 &amp; APIF_Import!$I$1,Podesavanja!$AA$3:$AD$28, 4, 0), 0))</f>
        <v/>
      </c>
      <c r="J332" s="230" t="str">
        <f ca="1">IF( ISNA( VLOOKUP( APIF_Import!$O332 &amp; APIF_Import!$J$1,Podesavanja!$AA$3:$AD$28, 4, 0)), "", VLOOKUP( APIF_Import!$C332, INDIRECT( "Lookup_" &amp; APIF_Import!$M332:$O332), VLOOKUP( APIF_Import!$O332 &amp; APIF_Import!$J$1,Podesavanja!$AA$3:$AD$28, 4, 0), 0))</f>
        <v/>
      </c>
      <c r="K332" s="230" t="str">
        <f ca="1">IF( ISNA( VLOOKUP( APIF_Import!$O332 &amp; APIF_Import!$K$1,Podesavanja!$AA$3:$AD$28, 4, 0)), "", VLOOKUP( APIF_Import!$C332, INDIRECT( "Lookup_" &amp; APIF_Import!$M332:$O332), VLOOKUP( APIF_Import!$O332 &amp; APIF_Import!$K$1,Podesavanja!$AA$3:$AD$28, 4, 0), 0))</f>
        <v/>
      </c>
      <c r="L332" s="230" t="str">
        <f ca="1">IF( ISNA( VLOOKUP( APIF_Import!$O332 &amp; APIF_Import!$L$1,Podesavanja!$AA$3:$AD$28, 4, 0)), "", VLOOKUP( APIF_Import!$C332, INDIRECT( "Lookup_" &amp; APIF_Import!$M332:$O332), VLOOKUP( APIF_Import!$O332 &amp; APIF_Import!$L$1,Podesavanja!$AA$3:$AD$28, 4, 0), 0))</f>
        <v/>
      </c>
      <c r="M332" s="230" t="str">
        <f ca="1">IF( ISNA( VLOOKUP( APIF_Import!$O332 &amp; APIF_Import!$M$1,Podesavanja!$AA$3:$AD$28, 4, 0)), "", VLOOKUP( APIF_Import!$C332, INDIRECT( "Lookup_" &amp; APIF_Import!$M332:$O332), VLOOKUP( APIF_Import!$O332 &amp; APIF_Import!$M$1,Podesavanja!$AA$3:$AD$28, 4, 0), 0))</f>
        <v/>
      </c>
      <c r="N332" s="8">
        <v>333</v>
      </c>
      <c r="O332" s="49" t="s">
        <v>1537</v>
      </c>
    </row>
    <row r="333" spans="2:15">
      <c r="B333" s="44">
        <f ca="1">VLOOKUP( APIF_Import!$O333, Podesavanja!$N$3:$Q$9, 4, 0)</f>
        <v>5</v>
      </c>
      <c r="C333" s="229">
        <f ca="1">VLOOKUP( APIF_Import!$N333, Aop!$A$2:$P$456, 4, 0)</f>
        <v>551</v>
      </c>
      <c r="D333" s="230" t="str">
        <f ca="1">IF( ISNA( VLOOKUP( APIF_Import!$O333 &amp; APIF_Import!$D$1,Podesavanja!$AA$3:$AD$28, 4, 0)), "", SUBSTITUTE( VALUE( VLOOKUP( APIF_Import!$C333, INDIRECT( "Lookup_" &amp; APIF_Import!$O333), VLOOKUP( APIF_Import!$O333 &amp; APIF_Import!$D$1,Podesavanja!$AA$3:$AD$28, 4, 0), 0)), ".", ","))</f>
        <v>15059913</v>
      </c>
      <c r="E333" s="230">
        <f ca="1">IF( ISNA( VLOOKUP( APIF_Import!$O333 &amp; APIF_Import!$E$1,Podesavanja!$AA$3:$AD$28, 4, 0)), "", VLOOKUP( APIF_Import!$C333, INDIRECT( "Lookup_" &amp; APIF_Import!$O333), VLOOKUP( APIF_Import!$O333 &amp; APIF_Import!$E$1,Podesavanja!$AA$3:$AD$28, 4, 0), 0))</f>
        <v>0</v>
      </c>
      <c r="F333" s="230" t="str">
        <f ca="1">IF( ISNA( VLOOKUP( APIF_Import!$O333 &amp; APIF_Import!$F$1,Podesavanja!$AA$3:$AD$28, 4, 0)), "", VLOOKUP( APIF_Import!$C333, INDIRECT( "Lookup_" &amp; APIF_Import!$O333), VLOOKUP( APIF_Import!$O333 &amp; APIF_Import!$F$1,Podesavanja!$AA$3:$AD$28, 4, 0), 0))</f>
        <v/>
      </c>
      <c r="G333" s="230" t="str">
        <f ca="1">IF( ISNA( VLOOKUP( APIF_Import!$O333 &amp; APIF_Import!$G$1,Podesavanja!$AA$3:$AD$28, 4, 0)), "", VLOOKUP( APIF_Import!$C333, INDIRECT( "Lookup_" &amp; APIF_Import!$O333), VLOOKUP( APIF_Import!$O333 &amp; APIF_Import!$G$1,Podesavanja!$AA$3:$AD$28, 4, 0), 0))</f>
        <v/>
      </c>
      <c r="H333" s="230" t="str">
        <f ca="1">IF( ISNA( VLOOKUP( APIF_Import!$O333 &amp; APIF_Import!$H$1,Podesavanja!$AA$3:$AD$28, 4, 0)), "", VLOOKUP( APIF_Import!$C333, INDIRECT( "Lookup_" &amp; APIF_Import!$O333), VLOOKUP( APIF_Import!$O333 &amp; APIF_Import!$H$1,Podesavanja!$AA$3:$AD$28, 4, 0), 0))</f>
        <v/>
      </c>
      <c r="I333" s="230" t="str">
        <f ca="1">IF( ISNA( VLOOKUP( APIF_Import!$O333 &amp; APIF_Import!$I$1,Podesavanja!$AA$3:$AD$28, 4, 0)), "", VLOOKUP( APIF_Import!$C333, INDIRECT( "Lookup_" &amp; APIF_Import!$M333:$O333), VLOOKUP( APIF_Import!$O333 &amp; APIF_Import!$I$1,Podesavanja!$AA$3:$AD$28, 4, 0), 0))</f>
        <v/>
      </c>
      <c r="J333" s="230" t="str">
        <f ca="1">IF( ISNA( VLOOKUP( APIF_Import!$O333 &amp; APIF_Import!$J$1,Podesavanja!$AA$3:$AD$28, 4, 0)), "", VLOOKUP( APIF_Import!$C333, INDIRECT( "Lookup_" &amp; APIF_Import!$M333:$O333), VLOOKUP( APIF_Import!$O333 &amp; APIF_Import!$J$1,Podesavanja!$AA$3:$AD$28, 4, 0), 0))</f>
        <v/>
      </c>
      <c r="K333" s="230" t="str">
        <f ca="1">IF( ISNA( VLOOKUP( APIF_Import!$O333 &amp; APIF_Import!$K$1,Podesavanja!$AA$3:$AD$28, 4, 0)), "", VLOOKUP( APIF_Import!$C333, INDIRECT( "Lookup_" &amp; APIF_Import!$M333:$O333), VLOOKUP( APIF_Import!$O333 &amp; APIF_Import!$K$1,Podesavanja!$AA$3:$AD$28, 4, 0), 0))</f>
        <v/>
      </c>
      <c r="L333" s="230" t="str">
        <f ca="1">IF( ISNA( VLOOKUP( APIF_Import!$O333 &amp; APIF_Import!$L$1,Podesavanja!$AA$3:$AD$28, 4, 0)), "", VLOOKUP( APIF_Import!$C333, INDIRECT( "Lookup_" &amp; APIF_Import!$M333:$O333), VLOOKUP( APIF_Import!$O333 &amp; APIF_Import!$L$1,Podesavanja!$AA$3:$AD$28, 4, 0), 0))</f>
        <v/>
      </c>
      <c r="M333" s="230" t="str">
        <f ca="1">IF( ISNA( VLOOKUP( APIF_Import!$O333 &amp; APIF_Import!$M$1,Podesavanja!$AA$3:$AD$28, 4, 0)), "", VLOOKUP( APIF_Import!$C333, INDIRECT( "Lookup_" &amp; APIF_Import!$M333:$O333), VLOOKUP( APIF_Import!$O333 &amp; APIF_Import!$M$1,Podesavanja!$AA$3:$AD$28, 4, 0), 0))</f>
        <v/>
      </c>
      <c r="N333" s="8">
        <v>334</v>
      </c>
      <c r="O333" s="49" t="s">
        <v>1537</v>
      </c>
    </row>
    <row r="334" spans="2:15">
      <c r="B334" s="44">
        <f ca="1">VLOOKUP( APIF_Import!$O334, Podesavanja!$N$3:$Q$9, 4, 0)</f>
        <v>5</v>
      </c>
      <c r="C334" s="229">
        <f ca="1">VLOOKUP( APIF_Import!$N334, Aop!$A$2:$P$456, 4, 0)</f>
        <v>552</v>
      </c>
      <c r="D334" s="230" t="str">
        <f ca="1">IF( ISNA( VLOOKUP( APIF_Import!$O334 &amp; APIF_Import!$D$1,Podesavanja!$AA$3:$AD$28, 4, 0)), "", SUBSTITUTE( VALUE( VLOOKUP( APIF_Import!$C334, INDIRECT( "Lookup_" &amp; APIF_Import!$O334), VLOOKUP( APIF_Import!$O334 &amp; APIF_Import!$D$1,Podesavanja!$AA$3:$AD$28, 4, 0), 0)), ".", ","))</f>
        <v>0</v>
      </c>
      <c r="E334" s="230">
        <f ca="1">IF( ISNA( VLOOKUP( APIF_Import!$O334 &amp; APIF_Import!$E$1,Podesavanja!$AA$3:$AD$28, 4, 0)), "", VLOOKUP( APIF_Import!$C334, INDIRECT( "Lookup_" &amp; APIF_Import!$O334), VLOOKUP( APIF_Import!$O334 &amp; APIF_Import!$E$1,Podesavanja!$AA$3:$AD$28, 4, 0), 0))</f>
        <v>0</v>
      </c>
      <c r="F334" s="230" t="str">
        <f ca="1">IF( ISNA( VLOOKUP( APIF_Import!$O334 &amp; APIF_Import!$F$1,Podesavanja!$AA$3:$AD$28, 4, 0)), "", VLOOKUP( APIF_Import!$C334, INDIRECT( "Lookup_" &amp; APIF_Import!$O334), VLOOKUP( APIF_Import!$O334 &amp; APIF_Import!$F$1,Podesavanja!$AA$3:$AD$28, 4, 0), 0))</f>
        <v/>
      </c>
      <c r="G334" s="230" t="str">
        <f ca="1">IF( ISNA( VLOOKUP( APIF_Import!$O334 &amp; APIF_Import!$G$1,Podesavanja!$AA$3:$AD$28, 4, 0)), "", VLOOKUP( APIF_Import!$C334, INDIRECT( "Lookup_" &amp; APIF_Import!$O334), VLOOKUP( APIF_Import!$O334 &amp; APIF_Import!$G$1,Podesavanja!$AA$3:$AD$28, 4, 0), 0))</f>
        <v/>
      </c>
      <c r="H334" s="230" t="str">
        <f ca="1">IF( ISNA( VLOOKUP( APIF_Import!$O334 &amp; APIF_Import!$H$1,Podesavanja!$AA$3:$AD$28, 4, 0)), "", VLOOKUP( APIF_Import!$C334, INDIRECT( "Lookup_" &amp; APIF_Import!$O334), VLOOKUP( APIF_Import!$O334 &amp; APIF_Import!$H$1,Podesavanja!$AA$3:$AD$28, 4, 0), 0))</f>
        <v/>
      </c>
      <c r="I334" s="230" t="str">
        <f ca="1">IF( ISNA( VLOOKUP( APIF_Import!$O334 &amp; APIF_Import!$I$1,Podesavanja!$AA$3:$AD$28, 4, 0)), "", VLOOKUP( APIF_Import!$C334, INDIRECT( "Lookup_" &amp; APIF_Import!$M334:$O334), VLOOKUP( APIF_Import!$O334 &amp; APIF_Import!$I$1,Podesavanja!$AA$3:$AD$28, 4, 0), 0))</f>
        <v/>
      </c>
      <c r="J334" s="230" t="str">
        <f ca="1">IF( ISNA( VLOOKUP( APIF_Import!$O334 &amp; APIF_Import!$J$1,Podesavanja!$AA$3:$AD$28, 4, 0)), "", VLOOKUP( APIF_Import!$C334, INDIRECT( "Lookup_" &amp; APIF_Import!$M334:$O334), VLOOKUP( APIF_Import!$O334 &amp; APIF_Import!$J$1,Podesavanja!$AA$3:$AD$28, 4, 0), 0))</f>
        <v/>
      </c>
      <c r="K334" s="230" t="str">
        <f ca="1">IF( ISNA( VLOOKUP( APIF_Import!$O334 &amp; APIF_Import!$K$1,Podesavanja!$AA$3:$AD$28, 4, 0)), "", VLOOKUP( APIF_Import!$C334, INDIRECT( "Lookup_" &amp; APIF_Import!$M334:$O334), VLOOKUP( APIF_Import!$O334 &amp; APIF_Import!$K$1,Podesavanja!$AA$3:$AD$28, 4, 0), 0))</f>
        <v/>
      </c>
      <c r="L334" s="230" t="str">
        <f ca="1">IF( ISNA( VLOOKUP( APIF_Import!$O334 &amp; APIF_Import!$L$1,Podesavanja!$AA$3:$AD$28, 4, 0)), "", VLOOKUP( APIF_Import!$C334, INDIRECT( "Lookup_" &amp; APIF_Import!$M334:$O334), VLOOKUP( APIF_Import!$O334 &amp; APIF_Import!$L$1,Podesavanja!$AA$3:$AD$28, 4, 0), 0))</f>
        <v/>
      </c>
      <c r="M334" s="230" t="str">
        <f ca="1">IF( ISNA( VLOOKUP( APIF_Import!$O334 &amp; APIF_Import!$M$1,Podesavanja!$AA$3:$AD$28, 4, 0)), "", VLOOKUP( APIF_Import!$C334, INDIRECT( "Lookup_" &amp; APIF_Import!$M334:$O334), VLOOKUP( APIF_Import!$O334 &amp; APIF_Import!$M$1,Podesavanja!$AA$3:$AD$28, 4, 0), 0))</f>
        <v/>
      </c>
      <c r="N334" s="8">
        <v>335</v>
      </c>
      <c r="O334" s="49" t="s">
        <v>1537</v>
      </c>
    </row>
    <row r="335" spans="2:15">
      <c r="B335" s="44">
        <f ca="1">VLOOKUP( APIF_Import!$O335, Podesavanja!$N$3:$Q$9, 4, 0)</f>
        <v>5</v>
      </c>
      <c r="C335" s="229">
        <f ca="1">VLOOKUP( APIF_Import!$N335, Aop!$A$2:$P$456, 4, 0)</f>
        <v>553</v>
      </c>
      <c r="D335" s="230" t="str">
        <f ca="1">IF( ISNA( VLOOKUP( APIF_Import!$O335 &amp; APIF_Import!$D$1,Podesavanja!$AA$3:$AD$28, 4, 0)), "", SUBSTITUTE( VALUE( VLOOKUP( APIF_Import!$C335, INDIRECT( "Lookup_" &amp; APIF_Import!$O335), VLOOKUP( APIF_Import!$O335 &amp; APIF_Import!$D$1,Podesavanja!$AA$3:$AD$28, 4, 0), 0)), ".", ","))</f>
        <v>0</v>
      </c>
      <c r="E335" s="230">
        <f ca="1">IF( ISNA( VLOOKUP( APIF_Import!$O335 &amp; APIF_Import!$E$1,Podesavanja!$AA$3:$AD$28, 4, 0)), "", VLOOKUP( APIF_Import!$C335, INDIRECT( "Lookup_" &amp; APIF_Import!$O335), VLOOKUP( APIF_Import!$O335 &amp; APIF_Import!$E$1,Podesavanja!$AA$3:$AD$28, 4, 0), 0))</f>
        <v>0</v>
      </c>
      <c r="F335" s="230" t="str">
        <f ca="1">IF( ISNA( VLOOKUP( APIF_Import!$O335 &amp; APIF_Import!$F$1,Podesavanja!$AA$3:$AD$28, 4, 0)), "", VLOOKUP( APIF_Import!$C335, INDIRECT( "Lookup_" &amp; APIF_Import!$O335), VLOOKUP( APIF_Import!$O335 &amp; APIF_Import!$F$1,Podesavanja!$AA$3:$AD$28, 4, 0), 0))</f>
        <v/>
      </c>
      <c r="G335" s="230" t="str">
        <f ca="1">IF( ISNA( VLOOKUP( APIF_Import!$O335 &amp; APIF_Import!$G$1,Podesavanja!$AA$3:$AD$28, 4, 0)), "", VLOOKUP( APIF_Import!$C335, INDIRECT( "Lookup_" &amp; APIF_Import!$O335), VLOOKUP( APIF_Import!$O335 &amp; APIF_Import!$G$1,Podesavanja!$AA$3:$AD$28, 4, 0), 0))</f>
        <v/>
      </c>
      <c r="H335" s="230" t="str">
        <f ca="1">IF( ISNA( VLOOKUP( APIF_Import!$O335 &amp; APIF_Import!$H$1,Podesavanja!$AA$3:$AD$28, 4, 0)), "", VLOOKUP( APIF_Import!$C335, INDIRECT( "Lookup_" &amp; APIF_Import!$O335), VLOOKUP( APIF_Import!$O335 &amp; APIF_Import!$H$1,Podesavanja!$AA$3:$AD$28, 4, 0), 0))</f>
        <v/>
      </c>
      <c r="I335" s="230" t="str">
        <f ca="1">IF( ISNA( VLOOKUP( APIF_Import!$O335 &amp; APIF_Import!$I$1,Podesavanja!$AA$3:$AD$28, 4, 0)), "", VLOOKUP( APIF_Import!$C335, INDIRECT( "Lookup_" &amp; APIF_Import!$M335:$O335), VLOOKUP( APIF_Import!$O335 &amp; APIF_Import!$I$1,Podesavanja!$AA$3:$AD$28, 4, 0), 0))</f>
        <v/>
      </c>
      <c r="J335" s="230" t="str">
        <f ca="1">IF( ISNA( VLOOKUP( APIF_Import!$O335 &amp; APIF_Import!$J$1,Podesavanja!$AA$3:$AD$28, 4, 0)), "", VLOOKUP( APIF_Import!$C335, INDIRECT( "Lookup_" &amp; APIF_Import!$M335:$O335), VLOOKUP( APIF_Import!$O335 &amp; APIF_Import!$J$1,Podesavanja!$AA$3:$AD$28, 4, 0), 0))</f>
        <v/>
      </c>
      <c r="K335" s="230" t="str">
        <f ca="1">IF( ISNA( VLOOKUP( APIF_Import!$O335 &amp; APIF_Import!$K$1,Podesavanja!$AA$3:$AD$28, 4, 0)), "", VLOOKUP( APIF_Import!$C335, INDIRECT( "Lookup_" &amp; APIF_Import!$M335:$O335), VLOOKUP( APIF_Import!$O335 &amp; APIF_Import!$K$1,Podesavanja!$AA$3:$AD$28, 4, 0), 0))</f>
        <v/>
      </c>
      <c r="L335" s="230" t="str">
        <f ca="1">IF( ISNA( VLOOKUP( APIF_Import!$O335 &amp; APIF_Import!$L$1,Podesavanja!$AA$3:$AD$28, 4, 0)), "", VLOOKUP( APIF_Import!$C335, INDIRECT( "Lookup_" &amp; APIF_Import!$M335:$O335), VLOOKUP( APIF_Import!$O335 &amp; APIF_Import!$L$1,Podesavanja!$AA$3:$AD$28, 4, 0), 0))</f>
        <v/>
      </c>
      <c r="M335" s="230" t="str">
        <f ca="1">IF( ISNA( VLOOKUP( APIF_Import!$O335 &amp; APIF_Import!$M$1,Podesavanja!$AA$3:$AD$28, 4, 0)), "", VLOOKUP( APIF_Import!$C335, INDIRECT( "Lookup_" &amp; APIF_Import!$M335:$O335), VLOOKUP( APIF_Import!$O335 &amp; APIF_Import!$M$1,Podesavanja!$AA$3:$AD$28, 4, 0), 0))</f>
        <v/>
      </c>
      <c r="N335" s="8">
        <v>336</v>
      </c>
      <c r="O335" s="49" t="s">
        <v>1537</v>
      </c>
    </row>
    <row r="336" spans="2:15">
      <c r="B336" s="44">
        <f ca="1">VLOOKUP( APIF_Import!$O336, Podesavanja!$N$3:$Q$9, 4, 0)</f>
        <v>5</v>
      </c>
      <c r="C336" s="229">
        <f ca="1">VLOOKUP( APIF_Import!$N336, Aop!$A$2:$P$456, 4, 0)</f>
        <v>554</v>
      </c>
      <c r="D336" s="230" t="str">
        <f ca="1">IF( ISNA( VLOOKUP( APIF_Import!$O336 &amp; APIF_Import!$D$1,Podesavanja!$AA$3:$AD$28, 4, 0)), "", SUBSTITUTE( VALUE( VLOOKUP( APIF_Import!$C336, INDIRECT( "Lookup_" &amp; APIF_Import!$O336), VLOOKUP( APIF_Import!$O336 &amp; APIF_Import!$D$1,Podesavanja!$AA$3:$AD$28, 4, 0), 0)), ".", ","))</f>
        <v>0</v>
      </c>
      <c r="E336" s="230">
        <f ca="1">IF( ISNA( VLOOKUP( APIF_Import!$O336 &amp; APIF_Import!$E$1,Podesavanja!$AA$3:$AD$28, 4, 0)), "", VLOOKUP( APIF_Import!$C336, INDIRECT( "Lookup_" &amp; APIF_Import!$O336), VLOOKUP( APIF_Import!$O336 &amp; APIF_Import!$E$1,Podesavanja!$AA$3:$AD$28, 4, 0), 0))</f>
        <v>0</v>
      </c>
      <c r="F336" s="230" t="str">
        <f ca="1">IF( ISNA( VLOOKUP( APIF_Import!$O336 &amp; APIF_Import!$F$1,Podesavanja!$AA$3:$AD$28, 4, 0)), "", VLOOKUP( APIF_Import!$C336, INDIRECT( "Lookup_" &amp; APIF_Import!$O336), VLOOKUP( APIF_Import!$O336 &amp; APIF_Import!$F$1,Podesavanja!$AA$3:$AD$28, 4, 0), 0))</f>
        <v/>
      </c>
      <c r="G336" s="230" t="str">
        <f ca="1">IF( ISNA( VLOOKUP( APIF_Import!$O336 &amp; APIF_Import!$G$1,Podesavanja!$AA$3:$AD$28, 4, 0)), "", VLOOKUP( APIF_Import!$C336, INDIRECT( "Lookup_" &amp; APIF_Import!$O336), VLOOKUP( APIF_Import!$O336 &amp; APIF_Import!$G$1,Podesavanja!$AA$3:$AD$28, 4, 0), 0))</f>
        <v/>
      </c>
      <c r="H336" s="230" t="str">
        <f ca="1">IF( ISNA( VLOOKUP( APIF_Import!$O336 &amp; APIF_Import!$H$1,Podesavanja!$AA$3:$AD$28, 4, 0)), "", VLOOKUP( APIF_Import!$C336, INDIRECT( "Lookup_" &amp; APIF_Import!$O336), VLOOKUP( APIF_Import!$O336 &amp; APIF_Import!$H$1,Podesavanja!$AA$3:$AD$28, 4, 0), 0))</f>
        <v/>
      </c>
      <c r="I336" s="230" t="str">
        <f ca="1">IF( ISNA( VLOOKUP( APIF_Import!$O336 &amp; APIF_Import!$I$1,Podesavanja!$AA$3:$AD$28, 4, 0)), "", VLOOKUP( APIF_Import!$C336, INDIRECT( "Lookup_" &amp; APIF_Import!$M336:$O336), VLOOKUP( APIF_Import!$O336 &amp; APIF_Import!$I$1,Podesavanja!$AA$3:$AD$28, 4, 0), 0))</f>
        <v/>
      </c>
      <c r="J336" s="230" t="str">
        <f ca="1">IF( ISNA( VLOOKUP( APIF_Import!$O336 &amp; APIF_Import!$J$1,Podesavanja!$AA$3:$AD$28, 4, 0)), "", VLOOKUP( APIF_Import!$C336, INDIRECT( "Lookup_" &amp; APIF_Import!$M336:$O336), VLOOKUP( APIF_Import!$O336 &amp; APIF_Import!$J$1,Podesavanja!$AA$3:$AD$28, 4, 0), 0))</f>
        <v/>
      </c>
      <c r="K336" s="230" t="str">
        <f ca="1">IF( ISNA( VLOOKUP( APIF_Import!$O336 &amp; APIF_Import!$K$1,Podesavanja!$AA$3:$AD$28, 4, 0)), "", VLOOKUP( APIF_Import!$C336, INDIRECT( "Lookup_" &amp; APIF_Import!$M336:$O336), VLOOKUP( APIF_Import!$O336 &amp; APIF_Import!$K$1,Podesavanja!$AA$3:$AD$28, 4, 0), 0))</f>
        <v/>
      </c>
      <c r="L336" s="230" t="str">
        <f ca="1">IF( ISNA( VLOOKUP( APIF_Import!$O336 &amp; APIF_Import!$L$1,Podesavanja!$AA$3:$AD$28, 4, 0)), "", VLOOKUP( APIF_Import!$C336, INDIRECT( "Lookup_" &amp; APIF_Import!$M336:$O336), VLOOKUP( APIF_Import!$O336 &amp; APIF_Import!$L$1,Podesavanja!$AA$3:$AD$28, 4, 0), 0))</f>
        <v/>
      </c>
      <c r="M336" s="230" t="str">
        <f ca="1">IF( ISNA( VLOOKUP( APIF_Import!$O336 &amp; APIF_Import!$M$1,Podesavanja!$AA$3:$AD$28, 4, 0)), "", VLOOKUP( APIF_Import!$C336, INDIRECT( "Lookup_" &amp; APIF_Import!$M336:$O336), VLOOKUP( APIF_Import!$O336 &amp; APIF_Import!$M$1,Podesavanja!$AA$3:$AD$28, 4, 0), 0))</f>
        <v/>
      </c>
      <c r="N336" s="8">
        <v>337</v>
      </c>
      <c r="O336" s="49" t="s">
        <v>1537</v>
      </c>
    </row>
    <row r="337" spans="2:15">
      <c r="B337" s="44">
        <f ca="1">VLOOKUP( APIF_Import!$O337, Podesavanja!$N$3:$Q$9, 4, 0)</f>
        <v>5</v>
      </c>
      <c r="C337" s="229">
        <f ca="1">VLOOKUP( APIF_Import!$N337, Aop!$A$2:$P$456, 4, 0)</f>
        <v>555</v>
      </c>
      <c r="D337" s="230" t="str">
        <f ca="1">IF( ISNA( VLOOKUP( APIF_Import!$O337 &amp; APIF_Import!$D$1,Podesavanja!$AA$3:$AD$28, 4, 0)), "", SUBSTITUTE( VALUE( VLOOKUP( APIF_Import!$C337, INDIRECT( "Lookup_" &amp; APIF_Import!$O337), VLOOKUP( APIF_Import!$O337 &amp; APIF_Import!$D$1,Podesavanja!$AA$3:$AD$28, 4, 0), 0)), ".", ","))</f>
        <v>0</v>
      </c>
      <c r="E337" s="230">
        <f ca="1">IF( ISNA( VLOOKUP( APIF_Import!$O337 &amp; APIF_Import!$E$1,Podesavanja!$AA$3:$AD$28, 4, 0)), "", VLOOKUP( APIF_Import!$C337, INDIRECT( "Lookup_" &amp; APIF_Import!$O337), VLOOKUP( APIF_Import!$O337 &amp; APIF_Import!$E$1,Podesavanja!$AA$3:$AD$28, 4, 0), 0))</f>
        <v>0</v>
      </c>
      <c r="F337" s="230" t="str">
        <f ca="1">IF( ISNA( VLOOKUP( APIF_Import!$O337 &amp; APIF_Import!$F$1,Podesavanja!$AA$3:$AD$28, 4, 0)), "", VLOOKUP( APIF_Import!$C337, INDIRECT( "Lookup_" &amp; APIF_Import!$O337), VLOOKUP( APIF_Import!$O337 &amp; APIF_Import!$F$1,Podesavanja!$AA$3:$AD$28, 4, 0), 0))</f>
        <v/>
      </c>
      <c r="G337" s="230" t="str">
        <f ca="1">IF( ISNA( VLOOKUP( APIF_Import!$O337 &amp; APIF_Import!$G$1,Podesavanja!$AA$3:$AD$28, 4, 0)), "", VLOOKUP( APIF_Import!$C337, INDIRECT( "Lookup_" &amp; APIF_Import!$O337), VLOOKUP( APIF_Import!$O337 &amp; APIF_Import!$G$1,Podesavanja!$AA$3:$AD$28, 4, 0), 0))</f>
        <v/>
      </c>
      <c r="H337" s="230" t="str">
        <f ca="1">IF( ISNA( VLOOKUP( APIF_Import!$O337 &amp; APIF_Import!$H$1,Podesavanja!$AA$3:$AD$28, 4, 0)), "", VLOOKUP( APIF_Import!$C337, INDIRECT( "Lookup_" &amp; APIF_Import!$O337), VLOOKUP( APIF_Import!$O337 &amp; APIF_Import!$H$1,Podesavanja!$AA$3:$AD$28, 4, 0), 0))</f>
        <v/>
      </c>
      <c r="I337" s="230" t="str">
        <f ca="1">IF( ISNA( VLOOKUP( APIF_Import!$O337 &amp; APIF_Import!$I$1,Podesavanja!$AA$3:$AD$28, 4, 0)), "", VLOOKUP( APIF_Import!$C337, INDIRECT( "Lookup_" &amp; APIF_Import!$M337:$O337), VLOOKUP( APIF_Import!$O337 &amp; APIF_Import!$I$1,Podesavanja!$AA$3:$AD$28, 4, 0), 0))</f>
        <v/>
      </c>
      <c r="J337" s="230" t="str">
        <f ca="1">IF( ISNA( VLOOKUP( APIF_Import!$O337 &amp; APIF_Import!$J$1,Podesavanja!$AA$3:$AD$28, 4, 0)), "", VLOOKUP( APIF_Import!$C337, INDIRECT( "Lookup_" &amp; APIF_Import!$M337:$O337), VLOOKUP( APIF_Import!$O337 &amp; APIF_Import!$J$1,Podesavanja!$AA$3:$AD$28, 4, 0), 0))</f>
        <v/>
      </c>
      <c r="K337" s="230" t="str">
        <f ca="1">IF( ISNA( VLOOKUP( APIF_Import!$O337 &amp; APIF_Import!$K$1,Podesavanja!$AA$3:$AD$28, 4, 0)), "", VLOOKUP( APIF_Import!$C337, INDIRECT( "Lookup_" &amp; APIF_Import!$M337:$O337), VLOOKUP( APIF_Import!$O337 &amp; APIF_Import!$K$1,Podesavanja!$AA$3:$AD$28, 4, 0), 0))</f>
        <v/>
      </c>
      <c r="L337" s="230" t="str">
        <f ca="1">IF( ISNA( VLOOKUP( APIF_Import!$O337 &amp; APIF_Import!$L$1,Podesavanja!$AA$3:$AD$28, 4, 0)), "", VLOOKUP( APIF_Import!$C337, INDIRECT( "Lookup_" &amp; APIF_Import!$M337:$O337), VLOOKUP( APIF_Import!$O337 &amp; APIF_Import!$L$1,Podesavanja!$AA$3:$AD$28, 4, 0), 0))</f>
        <v/>
      </c>
      <c r="M337" s="230" t="str">
        <f ca="1">IF( ISNA( VLOOKUP( APIF_Import!$O337 &amp; APIF_Import!$M$1,Podesavanja!$AA$3:$AD$28, 4, 0)), "", VLOOKUP( APIF_Import!$C337, INDIRECT( "Lookup_" &amp; APIF_Import!$M337:$O337), VLOOKUP( APIF_Import!$O337 &amp; APIF_Import!$M$1,Podesavanja!$AA$3:$AD$28, 4, 0), 0))</f>
        <v/>
      </c>
      <c r="N337" s="8">
        <v>338</v>
      </c>
      <c r="O337" s="49" t="s">
        <v>1537</v>
      </c>
    </row>
    <row r="338" spans="2:15">
      <c r="B338" s="44">
        <f ca="1">VLOOKUP( APIF_Import!$O338, Podesavanja!$N$3:$Q$9, 4, 0)</f>
        <v>5</v>
      </c>
      <c r="C338" s="229">
        <f ca="1">VLOOKUP( APIF_Import!$N338, Aop!$A$2:$P$456, 4, 0)</f>
        <v>556</v>
      </c>
      <c r="D338" s="230" t="str">
        <f ca="1">IF( ISNA( VLOOKUP( APIF_Import!$O338 &amp; APIF_Import!$D$1,Podesavanja!$AA$3:$AD$28, 4, 0)), "", SUBSTITUTE( VALUE( VLOOKUP( APIF_Import!$C338, INDIRECT( "Lookup_" &amp; APIF_Import!$O338), VLOOKUP( APIF_Import!$O338 &amp; APIF_Import!$D$1,Podesavanja!$AA$3:$AD$28, 4, 0), 0)), ".", ","))</f>
        <v>0</v>
      </c>
      <c r="E338" s="230">
        <f ca="1">IF( ISNA( VLOOKUP( APIF_Import!$O338 &amp; APIF_Import!$E$1,Podesavanja!$AA$3:$AD$28, 4, 0)), "", VLOOKUP( APIF_Import!$C338, INDIRECT( "Lookup_" &amp; APIF_Import!$O338), VLOOKUP( APIF_Import!$O338 &amp; APIF_Import!$E$1,Podesavanja!$AA$3:$AD$28, 4, 0), 0))</f>
        <v>0</v>
      </c>
      <c r="F338" s="230" t="str">
        <f ca="1">IF( ISNA( VLOOKUP( APIF_Import!$O338 &amp; APIF_Import!$F$1,Podesavanja!$AA$3:$AD$28, 4, 0)), "", VLOOKUP( APIF_Import!$C338, INDIRECT( "Lookup_" &amp; APIF_Import!$O338), VLOOKUP( APIF_Import!$O338 &amp; APIF_Import!$F$1,Podesavanja!$AA$3:$AD$28, 4, 0), 0))</f>
        <v/>
      </c>
      <c r="G338" s="230" t="str">
        <f ca="1">IF( ISNA( VLOOKUP( APIF_Import!$O338 &amp; APIF_Import!$G$1,Podesavanja!$AA$3:$AD$28, 4, 0)), "", VLOOKUP( APIF_Import!$C338, INDIRECT( "Lookup_" &amp; APIF_Import!$O338), VLOOKUP( APIF_Import!$O338 &amp; APIF_Import!$G$1,Podesavanja!$AA$3:$AD$28, 4, 0), 0))</f>
        <v/>
      </c>
      <c r="H338" s="230" t="str">
        <f ca="1">IF( ISNA( VLOOKUP( APIF_Import!$O338 &amp; APIF_Import!$H$1,Podesavanja!$AA$3:$AD$28, 4, 0)), "", VLOOKUP( APIF_Import!$C338, INDIRECT( "Lookup_" &amp; APIF_Import!$O338), VLOOKUP( APIF_Import!$O338 &amp; APIF_Import!$H$1,Podesavanja!$AA$3:$AD$28, 4, 0), 0))</f>
        <v/>
      </c>
      <c r="I338" s="230" t="str">
        <f ca="1">IF( ISNA( VLOOKUP( APIF_Import!$O338 &amp; APIF_Import!$I$1,Podesavanja!$AA$3:$AD$28, 4, 0)), "", VLOOKUP( APIF_Import!$C338, INDIRECT( "Lookup_" &amp; APIF_Import!$M338:$O338), VLOOKUP( APIF_Import!$O338 &amp; APIF_Import!$I$1,Podesavanja!$AA$3:$AD$28, 4, 0), 0))</f>
        <v/>
      </c>
      <c r="J338" s="230" t="str">
        <f ca="1">IF( ISNA( VLOOKUP( APIF_Import!$O338 &amp; APIF_Import!$J$1,Podesavanja!$AA$3:$AD$28, 4, 0)), "", VLOOKUP( APIF_Import!$C338, INDIRECT( "Lookup_" &amp; APIF_Import!$M338:$O338), VLOOKUP( APIF_Import!$O338 &amp; APIF_Import!$J$1,Podesavanja!$AA$3:$AD$28, 4, 0), 0))</f>
        <v/>
      </c>
      <c r="K338" s="230" t="str">
        <f ca="1">IF( ISNA( VLOOKUP( APIF_Import!$O338 &amp; APIF_Import!$K$1,Podesavanja!$AA$3:$AD$28, 4, 0)), "", VLOOKUP( APIF_Import!$C338, INDIRECT( "Lookup_" &amp; APIF_Import!$M338:$O338), VLOOKUP( APIF_Import!$O338 &amp; APIF_Import!$K$1,Podesavanja!$AA$3:$AD$28, 4, 0), 0))</f>
        <v/>
      </c>
      <c r="L338" s="230" t="str">
        <f ca="1">IF( ISNA( VLOOKUP( APIF_Import!$O338 &amp; APIF_Import!$L$1,Podesavanja!$AA$3:$AD$28, 4, 0)), "", VLOOKUP( APIF_Import!$C338, INDIRECT( "Lookup_" &amp; APIF_Import!$M338:$O338), VLOOKUP( APIF_Import!$O338 &amp; APIF_Import!$L$1,Podesavanja!$AA$3:$AD$28, 4, 0), 0))</f>
        <v/>
      </c>
      <c r="M338" s="230" t="str">
        <f ca="1">IF( ISNA( VLOOKUP( APIF_Import!$O338 &amp; APIF_Import!$M$1,Podesavanja!$AA$3:$AD$28, 4, 0)), "", VLOOKUP( APIF_Import!$C338, INDIRECT( "Lookup_" &amp; APIF_Import!$M338:$O338), VLOOKUP( APIF_Import!$O338 &amp; APIF_Import!$M$1,Podesavanja!$AA$3:$AD$28, 4, 0), 0))</f>
        <v/>
      </c>
      <c r="N338" s="8">
        <v>339</v>
      </c>
      <c r="O338" s="49" t="s">
        <v>1537</v>
      </c>
    </row>
    <row r="339" spans="2:15">
      <c r="B339" s="44">
        <f ca="1">VLOOKUP( APIF_Import!$O339, Podesavanja!$N$3:$Q$9, 4, 0)</f>
        <v>5</v>
      </c>
      <c r="C339" s="229">
        <f ca="1">VLOOKUP( APIF_Import!$N339, Aop!$A$2:$P$456, 4, 0)</f>
        <v>557</v>
      </c>
      <c r="D339" s="230" t="str">
        <f ca="1">IF( ISNA( VLOOKUP( APIF_Import!$O339 &amp; APIF_Import!$D$1,Podesavanja!$AA$3:$AD$28, 4, 0)), "", SUBSTITUTE( VALUE( VLOOKUP( APIF_Import!$C339, INDIRECT( "Lookup_" &amp; APIF_Import!$O339), VLOOKUP( APIF_Import!$O339 &amp; APIF_Import!$D$1,Podesavanja!$AA$3:$AD$28, 4, 0), 0)), ".", ","))</f>
        <v>14710851</v>
      </c>
      <c r="E339" s="230">
        <f ca="1">IF( ISNA( VLOOKUP( APIF_Import!$O339 &amp; APIF_Import!$E$1,Podesavanja!$AA$3:$AD$28, 4, 0)), "", VLOOKUP( APIF_Import!$C339, INDIRECT( "Lookup_" &amp; APIF_Import!$O339), VLOOKUP( APIF_Import!$O339 &amp; APIF_Import!$E$1,Podesavanja!$AA$3:$AD$28, 4, 0), 0))</f>
        <v>0</v>
      </c>
      <c r="F339" s="230" t="str">
        <f ca="1">IF( ISNA( VLOOKUP( APIF_Import!$O339 &amp; APIF_Import!$F$1,Podesavanja!$AA$3:$AD$28, 4, 0)), "", VLOOKUP( APIF_Import!$C339, INDIRECT( "Lookup_" &amp; APIF_Import!$O339), VLOOKUP( APIF_Import!$O339 &amp; APIF_Import!$F$1,Podesavanja!$AA$3:$AD$28, 4, 0), 0))</f>
        <v/>
      </c>
      <c r="G339" s="230" t="str">
        <f ca="1">IF( ISNA( VLOOKUP( APIF_Import!$O339 &amp; APIF_Import!$G$1,Podesavanja!$AA$3:$AD$28, 4, 0)), "", VLOOKUP( APIF_Import!$C339, INDIRECT( "Lookup_" &amp; APIF_Import!$O339), VLOOKUP( APIF_Import!$O339 &amp; APIF_Import!$G$1,Podesavanja!$AA$3:$AD$28, 4, 0), 0))</f>
        <v/>
      </c>
      <c r="H339" s="230" t="str">
        <f ca="1">IF( ISNA( VLOOKUP( APIF_Import!$O339 &amp; APIF_Import!$H$1,Podesavanja!$AA$3:$AD$28, 4, 0)), "", VLOOKUP( APIF_Import!$C339, INDIRECT( "Lookup_" &amp; APIF_Import!$O339), VLOOKUP( APIF_Import!$O339 &amp; APIF_Import!$H$1,Podesavanja!$AA$3:$AD$28, 4, 0), 0))</f>
        <v/>
      </c>
      <c r="I339" s="230" t="str">
        <f ca="1">IF( ISNA( VLOOKUP( APIF_Import!$O339 &amp; APIF_Import!$I$1,Podesavanja!$AA$3:$AD$28, 4, 0)), "", VLOOKUP( APIF_Import!$C339, INDIRECT( "Lookup_" &amp; APIF_Import!$M339:$O339), VLOOKUP( APIF_Import!$O339 &amp; APIF_Import!$I$1,Podesavanja!$AA$3:$AD$28, 4, 0), 0))</f>
        <v/>
      </c>
      <c r="J339" s="230" t="str">
        <f ca="1">IF( ISNA( VLOOKUP( APIF_Import!$O339 &amp; APIF_Import!$J$1,Podesavanja!$AA$3:$AD$28, 4, 0)), "", VLOOKUP( APIF_Import!$C339, INDIRECT( "Lookup_" &amp; APIF_Import!$M339:$O339), VLOOKUP( APIF_Import!$O339 &amp; APIF_Import!$J$1,Podesavanja!$AA$3:$AD$28, 4, 0), 0))</f>
        <v/>
      </c>
      <c r="K339" s="230" t="str">
        <f ca="1">IF( ISNA( VLOOKUP( APIF_Import!$O339 &amp; APIF_Import!$K$1,Podesavanja!$AA$3:$AD$28, 4, 0)), "", VLOOKUP( APIF_Import!$C339, INDIRECT( "Lookup_" &amp; APIF_Import!$M339:$O339), VLOOKUP( APIF_Import!$O339 &amp; APIF_Import!$K$1,Podesavanja!$AA$3:$AD$28, 4, 0), 0))</f>
        <v/>
      </c>
      <c r="L339" s="230" t="str">
        <f ca="1">IF( ISNA( VLOOKUP( APIF_Import!$O339 &amp; APIF_Import!$L$1,Podesavanja!$AA$3:$AD$28, 4, 0)), "", VLOOKUP( APIF_Import!$C339, INDIRECT( "Lookup_" &amp; APIF_Import!$M339:$O339), VLOOKUP( APIF_Import!$O339 &amp; APIF_Import!$L$1,Podesavanja!$AA$3:$AD$28, 4, 0), 0))</f>
        <v/>
      </c>
      <c r="M339" s="230" t="str">
        <f ca="1">IF( ISNA( VLOOKUP( APIF_Import!$O339 &amp; APIF_Import!$M$1,Podesavanja!$AA$3:$AD$28, 4, 0)), "", VLOOKUP( APIF_Import!$C339, INDIRECT( "Lookup_" &amp; APIF_Import!$M339:$O339), VLOOKUP( APIF_Import!$O339 &amp; APIF_Import!$M$1,Podesavanja!$AA$3:$AD$28, 4, 0), 0))</f>
        <v/>
      </c>
      <c r="N339" s="8">
        <v>340</v>
      </c>
      <c r="O339" s="49" t="s">
        <v>1537</v>
      </c>
    </row>
    <row r="340" spans="2:15">
      <c r="B340" s="44">
        <f ca="1">VLOOKUP( APIF_Import!$O340, Podesavanja!$N$3:$Q$9, 4, 0)</f>
        <v>5</v>
      </c>
      <c r="C340" s="229">
        <f ca="1">VLOOKUP( APIF_Import!$N340, Aop!$A$2:$P$456, 4, 0)</f>
        <v>558</v>
      </c>
      <c r="D340" s="230" t="str">
        <f ca="1">IF( ISNA( VLOOKUP( APIF_Import!$O340 &amp; APIF_Import!$D$1,Podesavanja!$AA$3:$AD$28, 4, 0)), "", SUBSTITUTE( VALUE( VLOOKUP( APIF_Import!$C340, INDIRECT( "Lookup_" &amp; APIF_Import!$O340), VLOOKUP( APIF_Import!$O340 &amp; APIF_Import!$D$1,Podesavanja!$AA$3:$AD$28, 4, 0), 0)), ".", ","))</f>
        <v>349062</v>
      </c>
      <c r="E340" s="230">
        <f ca="1">IF( ISNA( VLOOKUP( APIF_Import!$O340 &amp; APIF_Import!$E$1,Podesavanja!$AA$3:$AD$28, 4, 0)), "", VLOOKUP( APIF_Import!$C340, INDIRECT( "Lookup_" &amp; APIF_Import!$O340), VLOOKUP( APIF_Import!$O340 &amp; APIF_Import!$E$1,Podesavanja!$AA$3:$AD$28, 4, 0), 0))</f>
        <v>0</v>
      </c>
      <c r="F340" s="230" t="str">
        <f ca="1">IF( ISNA( VLOOKUP( APIF_Import!$O340 &amp; APIF_Import!$F$1,Podesavanja!$AA$3:$AD$28, 4, 0)), "", VLOOKUP( APIF_Import!$C340, INDIRECT( "Lookup_" &amp; APIF_Import!$O340), VLOOKUP( APIF_Import!$O340 &amp; APIF_Import!$F$1,Podesavanja!$AA$3:$AD$28, 4, 0), 0))</f>
        <v/>
      </c>
      <c r="G340" s="230" t="str">
        <f ca="1">IF( ISNA( VLOOKUP( APIF_Import!$O340 &amp; APIF_Import!$G$1,Podesavanja!$AA$3:$AD$28, 4, 0)), "", VLOOKUP( APIF_Import!$C340, INDIRECT( "Lookup_" &amp; APIF_Import!$O340), VLOOKUP( APIF_Import!$O340 &amp; APIF_Import!$G$1,Podesavanja!$AA$3:$AD$28, 4, 0), 0))</f>
        <v/>
      </c>
      <c r="H340" s="230" t="str">
        <f ca="1">IF( ISNA( VLOOKUP( APIF_Import!$O340 &amp; APIF_Import!$H$1,Podesavanja!$AA$3:$AD$28, 4, 0)), "", VLOOKUP( APIF_Import!$C340, INDIRECT( "Lookup_" &amp; APIF_Import!$O340), VLOOKUP( APIF_Import!$O340 &amp; APIF_Import!$H$1,Podesavanja!$AA$3:$AD$28, 4, 0), 0))</f>
        <v/>
      </c>
      <c r="I340" s="230" t="str">
        <f ca="1">IF( ISNA( VLOOKUP( APIF_Import!$O340 &amp; APIF_Import!$I$1,Podesavanja!$AA$3:$AD$28, 4, 0)), "", VLOOKUP( APIF_Import!$C340, INDIRECT( "Lookup_" &amp; APIF_Import!$M340:$O340), VLOOKUP( APIF_Import!$O340 &amp; APIF_Import!$I$1,Podesavanja!$AA$3:$AD$28, 4, 0), 0))</f>
        <v/>
      </c>
      <c r="J340" s="230" t="str">
        <f ca="1">IF( ISNA( VLOOKUP( APIF_Import!$O340 &amp; APIF_Import!$J$1,Podesavanja!$AA$3:$AD$28, 4, 0)), "", VLOOKUP( APIF_Import!$C340, INDIRECT( "Lookup_" &amp; APIF_Import!$M340:$O340), VLOOKUP( APIF_Import!$O340 &amp; APIF_Import!$J$1,Podesavanja!$AA$3:$AD$28, 4, 0), 0))</f>
        <v/>
      </c>
      <c r="K340" s="230" t="str">
        <f ca="1">IF( ISNA( VLOOKUP( APIF_Import!$O340 &amp; APIF_Import!$K$1,Podesavanja!$AA$3:$AD$28, 4, 0)), "", VLOOKUP( APIF_Import!$C340, INDIRECT( "Lookup_" &amp; APIF_Import!$M340:$O340), VLOOKUP( APIF_Import!$O340 &amp; APIF_Import!$K$1,Podesavanja!$AA$3:$AD$28, 4, 0), 0))</f>
        <v/>
      </c>
      <c r="L340" s="230" t="str">
        <f ca="1">IF( ISNA( VLOOKUP( APIF_Import!$O340 &amp; APIF_Import!$L$1,Podesavanja!$AA$3:$AD$28, 4, 0)), "", VLOOKUP( APIF_Import!$C340, INDIRECT( "Lookup_" &amp; APIF_Import!$M340:$O340), VLOOKUP( APIF_Import!$O340 &amp; APIF_Import!$L$1,Podesavanja!$AA$3:$AD$28, 4, 0), 0))</f>
        <v/>
      </c>
      <c r="M340" s="230" t="str">
        <f ca="1">IF( ISNA( VLOOKUP( APIF_Import!$O340 &amp; APIF_Import!$M$1,Podesavanja!$AA$3:$AD$28, 4, 0)), "", VLOOKUP( APIF_Import!$C340, INDIRECT( "Lookup_" &amp; APIF_Import!$M340:$O340), VLOOKUP( APIF_Import!$O340 &amp; APIF_Import!$M$1,Podesavanja!$AA$3:$AD$28, 4, 0), 0))</f>
        <v/>
      </c>
      <c r="N340" s="8">
        <v>341</v>
      </c>
      <c r="O340" s="49" t="s">
        <v>1537</v>
      </c>
    </row>
    <row r="341" spans="2:15">
      <c r="B341" s="44">
        <f ca="1">VLOOKUP( APIF_Import!$O341, Podesavanja!$N$3:$Q$9, 4, 0)</f>
        <v>5</v>
      </c>
      <c r="C341" s="229">
        <f ca="1">VLOOKUP( APIF_Import!$N341, Aop!$A$2:$P$456, 4, 0)</f>
        <v>559</v>
      </c>
      <c r="D341" s="230" t="str">
        <f ca="1">IF( ISNA( VLOOKUP( APIF_Import!$O341 &amp; APIF_Import!$D$1,Podesavanja!$AA$3:$AD$28, 4, 0)), "", SUBSTITUTE( VALUE( VLOOKUP( APIF_Import!$C341, INDIRECT( "Lookup_" &amp; APIF_Import!$O341), VLOOKUP( APIF_Import!$O341 &amp; APIF_Import!$D$1,Podesavanja!$AA$3:$AD$28, 4, 0), 0)), ".", ","))</f>
        <v>589370</v>
      </c>
      <c r="E341" s="230">
        <f ca="1">IF( ISNA( VLOOKUP( APIF_Import!$O341 &amp; APIF_Import!$E$1,Podesavanja!$AA$3:$AD$28, 4, 0)), "", VLOOKUP( APIF_Import!$C341, INDIRECT( "Lookup_" &amp; APIF_Import!$O341), VLOOKUP( APIF_Import!$O341 &amp; APIF_Import!$E$1,Podesavanja!$AA$3:$AD$28, 4, 0), 0))</f>
        <v>500000</v>
      </c>
      <c r="F341" s="230" t="str">
        <f ca="1">IF( ISNA( VLOOKUP( APIF_Import!$O341 &amp; APIF_Import!$F$1,Podesavanja!$AA$3:$AD$28, 4, 0)), "", VLOOKUP( APIF_Import!$C341, INDIRECT( "Lookup_" &amp; APIF_Import!$O341), VLOOKUP( APIF_Import!$O341 &amp; APIF_Import!$F$1,Podesavanja!$AA$3:$AD$28, 4, 0), 0))</f>
        <v/>
      </c>
      <c r="G341" s="230" t="str">
        <f ca="1">IF( ISNA( VLOOKUP( APIF_Import!$O341 &amp; APIF_Import!$G$1,Podesavanja!$AA$3:$AD$28, 4, 0)), "", VLOOKUP( APIF_Import!$C341, INDIRECT( "Lookup_" &amp; APIF_Import!$O341), VLOOKUP( APIF_Import!$O341 &amp; APIF_Import!$G$1,Podesavanja!$AA$3:$AD$28, 4, 0), 0))</f>
        <v/>
      </c>
      <c r="H341" s="230" t="str">
        <f ca="1">IF( ISNA( VLOOKUP( APIF_Import!$O341 &amp; APIF_Import!$H$1,Podesavanja!$AA$3:$AD$28, 4, 0)), "", VLOOKUP( APIF_Import!$C341, INDIRECT( "Lookup_" &amp; APIF_Import!$O341), VLOOKUP( APIF_Import!$O341 &amp; APIF_Import!$H$1,Podesavanja!$AA$3:$AD$28, 4, 0), 0))</f>
        <v/>
      </c>
      <c r="I341" s="230" t="str">
        <f ca="1">IF( ISNA( VLOOKUP( APIF_Import!$O341 &amp; APIF_Import!$I$1,Podesavanja!$AA$3:$AD$28, 4, 0)), "", VLOOKUP( APIF_Import!$C341, INDIRECT( "Lookup_" &amp; APIF_Import!$M341:$O341), VLOOKUP( APIF_Import!$O341 &amp; APIF_Import!$I$1,Podesavanja!$AA$3:$AD$28, 4, 0), 0))</f>
        <v/>
      </c>
      <c r="J341" s="230" t="str">
        <f ca="1">IF( ISNA( VLOOKUP( APIF_Import!$O341 &amp; APIF_Import!$J$1,Podesavanja!$AA$3:$AD$28, 4, 0)), "", VLOOKUP( APIF_Import!$C341, INDIRECT( "Lookup_" &amp; APIF_Import!$M341:$O341), VLOOKUP( APIF_Import!$O341 &amp; APIF_Import!$J$1,Podesavanja!$AA$3:$AD$28, 4, 0), 0))</f>
        <v/>
      </c>
      <c r="K341" s="230" t="str">
        <f ca="1">IF( ISNA( VLOOKUP( APIF_Import!$O341 &amp; APIF_Import!$K$1,Podesavanja!$AA$3:$AD$28, 4, 0)), "", VLOOKUP( APIF_Import!$C341, INDIRECT( "Lookup_" &amp; APIF_Import!$M341:$O341), VLOOKUP( APIF_Import!$O341 &amp; APIF_Import!$K$1,Podesavanja!$AA$3:$AD$28, 4, 0), 0))</f>
        <v/>
      </c>
      <c r="L341" s="230" t="str">
        <f ca="1">IF( ISNA( VLOOKUP( APIF_Import!$O341 &amp; APIF_Import!$L$1,Podesavanja!$AA$3:$AD$28, 4, 0)), "", VLOOKUP( APIF_Import!$C341, INDIRECT( "Lookup_" &amp; APIF_Import!$M341:$O341), VLOOKUP( APIF_Import!$O341 &amp; APIF_Import!$L$1,Podesavanja!$AA$3:$AD$28, 4, 0), 0))</f>
        <v/>
      </c>
      <c r="M341" s="230" t="str">
        <f ca="1">IF( ISNA( VLOOKUP( APIF_Import!$O341 &amp; APIF_Import!$M$1,Podesavanja!$AA$3:$AD$28, 4, 0)), "", VLOOKUP( APIF_Import!$C341, INDIRECT( "Lookup_" &amp; APIF_Import!$M341:$O341), VLOOKUP( APIF_Import!$O341 &amp; APIF_Import!$M$1,Podesavanja!$AA$3:$AD$28, 4, 0), 0))</f>
        <v/>
      </c>
      <c r="N341" s="8">
        <v>342</v>
      </c>
      <c r="O341" s="49" t="s">
        <v>1537</v>
      </c>
    </row>
    <row r="342" spans="2:15">
      <c r="B342" s="44">
        <f ca="1">VLOOKUP( APIF_Import!$O342, Podesavanja!$N$3:$Q$9, 4, 0)</f>
        <v>5</v>
      </c>
      <c r="C342" s="229">
        <f ca="1">VLOOKUP( APIF_Import!$N342, Aop!$A$2:$P$456, 4, 0)</f>
        <v>560</v>
      </c>
      <c r="D342" s="230" t="str">
        <f ca="1">IF( ISNA( VLOOKUP( APIF_Import!$O342 &amp; APIF_Import!$D$1,Podesavanja!$AA$3:$AD$28, 4, 0)), "", SUBSTITUTE( VALUE( VLOOKUP( APIF_Import!$C342, INDIRECT( "Lookup_" &amp; APIF_Import!$O342), VLOOKUP( APIF_Import!$O342 &amp; APIF_Import!$D$1,Podesavanja!$AA$3:$AD$28, 4, 0), 0)), ".", ","))</f>
        <v>0</v>
      </c>
      <c r="E342" s="230">
        <f ca="1">IF( ISNA( VLOOKUP( APIF_Import!$O342 &amp; APIF_Import!$E$1,Podesavanja!$AA$3:$AD$28, 4, 0)), "", VLOOKUP( APIF_Import!$C342, INDIRECT( "Lookup_" &amp; APIF_Import!$O342), VLOOKUP( APIF_Import!$O342 &amp; APIF_Import!$E$1,Podesavanja!$AA$3:$AD$28, 4, 0), 0))</f>
        <v>0</v>
      </c>
      <c r="F342" s="230" t="str">
        <f ca="1">IF( ISNA( VLOOKUP( APIF_Import!$O342 &amp; APIF_Import!$F$1,Podesavanja!$AA$3:$AD$28, 4, 0)), "", VLOOKUP( APIF_Import!$C342, INDIRECT( "Lookup_" &amp; APIF_Import!$O342), VLOOKUP( APIF_Import!$O342 &amp; APIF_Import!$F$1,Podesavanja!$AA$3:$AD$28, 4, 0), 0))</f>
        <v/>
      </c>
      <c r="G342" s="230" t="str">
        <f ca="1">IF( ISNA( VLOOKUP( APIF_Import!$O342 &amp; APIF_Import!$G$1,Podesavanja!$AA$3:$AD$28, 4, 0)), "", VLOOKUP( APIF_Import!$C342, INDIRECT( "Lookup_" &amp; APIF_Import!$O342), VLOOKUP( APIF_Import!$O342 &amp; APIF_Import!$G$1,Podesavanja!$AA$3:$AD$28, 4, 0), 0))</f>
        <v/>
      </c>
      <c r="H342" s="230" t="str">
        <f ca="1">IF( ISNA( VLOOKUP( APIF_Import!$O342 &amp; APIF_Import!$H$1,Podesavanja!$AA$3:$AD$28, 4, 0)), "", VLOOKUP( APIF_Import!$C342, INDIRECT( "Lookup_" &amp; APIF_Import!$O342), VLOOKUP( APIF_Import!$O342 &amp; APIF_Import!$H$1,Podesavanja!$AA$3:$AD$28, 4, 0), 0))</f>
        <v/>
      </c>
      <c r="I342" s="230" t="str">
        <f ca="1">IF( ISNA( VLOOKUP( APIF_Import!$O342 &amp; APIF_Import!$I$1,Podesavanja!$AA$3:$AD$28, 4, 0)), "", VLOOKUP( APIF_Import!$C342, INDIRECT( "Lookup_" &amp; APIF_Import!$M342:$O342), VLOOKUP( APIF_Import!$O342 &amp; APIF_Import!$I$1,Podesavanja!$AA$3:$AD$28, 4, 0), 0))</f>
        <v/>
      </c>
      <c r="J342" s="230" t="str">
        <f ca="1">IF( ISNA( VLOOKUP( APIF_Import!$O342 &amp; APIF_Import!$J$1,Podesavanja!$AA$3:$AD$28, 4, 0)), "", VLOOKUP( APIF_Import!$C342, INDIRECT( "Lookup_" &amp; APIF_Import!$M342:$O342), VLOOKUP( APIF_Import!$O342 &amp; APIF_Import!$J$1,Podesavanja!$AA$3:$AD$28, 4, 0), 0))</f>
        <v/>
      </c>
      <c r="K342" s="230" t="str">
        <f ca="1">IF( ISNA( VLOOKUP( APIF_Import!$O342 &amp; APIF_Import!$K$1,Podesavanja!$AA$3:$AD$28, 4, 0)), "", VLOOKUP( APIF_Import!$C342, INDIRECT( "Lookup_" &amp; APIF_Import!$M342:$O342), VLOOKUP( APIF_Import!$O342 &amp; APIF_Import!$K$1,Podesavanja!$AA$3:$AD$28, 4, 0), 0))</f>
        <v/>
      </c>
      <c r="L342" s="230" t="str">
        <f ca="1">IF( ISNA( VLOOKUP( APIF_Import!$O342 &amp; APIF_Import!$L$1,Podesavanja!$AA$3:$AD$28, 4, 0)), "", VLOOKUP( APIF_Import!$C342, INDIRECT( "Lookup_" &amp; APIF_Import!$M342:$O342), VLOOKUP( APIF_Import!$O342 &amp; APIF_Import!$L$1,Podesavanja!$AA$3:$AD$28, 4, 0), 0))</f>
        <v/>
      </c>
      <c r="M342" s="230" t="str">
        <f ca="1">IF( ISNA( VLOOKUP( APIF_Import!$O342 &amp; APIF_Import!$M$1,Podesavanja!$AA$3:$AD$28, 4, 0)), "", VLOOKUP( APIF_Import!$C342, INDIRECT( "Lookup_" &amp; APIF_Import!$M342:$O342), VLOOKUP( APIF_Import!$O342 &amp; APIF_Import!$M$1,Podesavanja!$AA$3:$AD$28, 4, 0), 0))</f>
        <v/>
      </c>
      <c r="N342" s="8">
        <v>343</v>
      </c>
      <c r="O342" s="49" t="s">
        <v>1537</v>
      </c>
    </row>
    <row r="343" spans="2:15">
      <c r="B343" s="44">
        <f ca="1">VLOOKUP( APIF_Import!$O343, Podesavanja!$N$3:$Q$9, 4, 0)</f>
        <v>5</v>
      </c>
      <c r="C343" s="229">
        <f ca="1">VLOOKUP( APIF_Import!$N343, Aop!$A$2:$P$456, 4, 0)</f>
        <v>561</v>
      </c>
      <c r="D343" s="230" t="str">
        <f ca="1">IF( ISNA( VLOOKUP( APIF_Import!$O343 &amp; APIF_Import!$D$1,Podesavanja!$AA$3:$AD$28, 4, 0)), "", SUBSTITUTE( VALUE( VLOOKUP( APIF_Import!$C343, INDIRECT( "Lookup_" &amp; APIF_Import!$O343), VLOOKUP( APIF_Import!$O343 &amp; APIF_Import!$D$1,Podesavanja!$AA$3:$AD$28, 4, 0), 0)), ".", ","))</f>
        <v>34256450</v>
      </c>
      <c r="E343" s="230">
        <f ca="1">IF( ISNA( VLOOKUP( APIF_Import!$O343 &amp; APIF_Import!$E$1,Podesavanja!$AA$3:$AD$28, 4, 0)), "", VLOOKUP( APIF_Import!$C343, INDIRECT( "Lookup_" &amp; APIF_Import!$O343), VLOOKUP( APIF_Import!$O343 &amp; APIF_Import!$E$1,Podesavanja!$AA$3:$AD$28, 4, 0), 0))</f>
        <v>1070838</v>
      </c>
      <c r="F343" s="230" t="str">
        <f ca="1">IF( ISNA( VLOOKUP( APIF_Import!$O343 &amp; APIF_Import!$F$1,Podesavanja!$AA$3:$AD$28, 4, 0)), "", VLOOKUP( APIF_Import!$C343, INDIRECT( "Lookup_" &amp; APIF_Import!$O343), VLOOKUP( APIF_Import!$O343 &amp; APIF_Import!$F$1,Podesavanja!$AA$3:$AD$28, 4, 0), 0))</f>
        <v/>
      </c>
      <c r="G343" s="230" t="str">
        <f ca="1">IF( ISNA( VLOOKUP( APIF_Import!$O343 &amp; APIF_Import!$G$1,Podesavanja!$AA$3:$AD$28, 4, 0)), "", VLOOKUP( APIF_Import!$C343, INDIRECT( "Lookup_" &amp; APIF_Import!$O343), VLOOKUP( APIF_Import!$O343 &amp; APIF_Import!$G$1,Podesavanja!$AA$3:$AD$28, 4, 0), 0))</f>
        <v/>
      </c>
      <c r="H343" s="230" t="str">
        <f ca="1">IF( ISNA( VLOOKUP( APIF_Import!$O343 &amp; APIF_Import!$H$1,Podesavanja!$AA$3:$AD$28, 4, 0)), "", VLOOKUP( APIF_Import!$C343, INDIRECT( "Lookup_" &amp; APIF_Import!$O343), VLOOKUP( APIF_Import!$O343 &amp; APIF_Import!$H$1,Podesavanja!$AA$3:$AD$28, 4, 0), 0))</f>
        <v/>
      </c>
      <c r="I343" s="230" t="str">
        <f ca="1">IF( ISNA( VLOOKUP( APIF_Import!$O343 &amp; APIF_Import!$I$1,Podesavanja!$AA$3:$AD$28, 4, 0)), "", VLOOKUP( APIF_Import!$C343, INDIRECT( "Lookup_" &amp; APIF_Import!$M343:$O343), VLOOKUP( APIF_Import!$O343 &amp; APIF_Import!$I$1,Podesavanja!$AA$3:$AD$28, 4, 0), 0))</f>
        <v/>
      </c>
      <c r="J343" s="230" t="str">
        <f ca="1">IF( ISNA( VLOOKUP( APIF_Import!$O343 &amp; APIF_Import!$J$1,Podesavanja!$AA$3:$AD$28, 4, 0)), "", VLOOKUP( APIF_Import!$C343, INDIRECT( "Lookup_" &amp; APIF_Import!$M343:$O343), VLOOKUP( APIF_Import!$O343 &amp; APIF_Import!$J$1,Podesavanja!$AA$3:$AD$28, 4, 0), 0))</f>
        <v/>
      </c>
      <c r="K343" s="230" t="str">
        <f ca="1">IF( ISNA( VLOOKUP( APIF_Import!$O343 &amp; APIF_Import!$K$1,Podesavanja!$AA$3:$AD$28, 4, 0)), "", VLOOKUP( APIF_Import!$C343, INDIRECT( "Lookup_" &amp; APIF_Import!$M343:$O343), VLOOKUP( APIF_Import!$O343 &amp; APIF_Import!$K$1,Podesavanja!$AA$3:$AD$28, 4, 0), 0))</f>
        <v/>
      </c>
      <c r="L343" s="230" t="str">
        <f ca="1">IF( ISNA( VLOOKUP( APIF_Import!$O343 &amp; APIF_Import!$L$1,Podesavanja!$AA$3:$AD$28, 4, 0)), "", VLOOKUP( APIF_Import!$C343, INDIRECT( "Lookup_" &amp; APIF_Import!$M343:$O343), VLOOKUP( APIF_Import!$O343 &amp; APIF_Import!$L$1,Podesavanja!$AA$3:$AD$28, 4, 0), 0))</f>
        <v/>
      </c>
      <c r="M343" s="230" t="str">
        <f ca="1">IF( ISNA( VLOOKUP( APIF_Import!$O343 &amp; APIF_Import!$M$1,Podesavanja!$AA$3:$AD$28, 4, 0)), "", VLOOKUP( APIF_Import!$C343, INDIRECT( "Lookup_" &amp; APIF_Import!$M343:$O343), VLOOKUP( APIF_Import!$O343 &amp; APIF_Import!$M$1,Podesavanja!$AA$3:$AD$28, 4, 0), 0))</f>
        <v/>
      </c>
      <c r="N343" s="8">
        <v>344</v>
      </c>
      <c r="O343" s="49" t="s">
        <v>1537</v>
      </c>
    </row>
    <row r="344" spans="2:15">
      <c r="B344" s="44">
        <f ca="1">VLOOKUP( APIF_Import!$O344, Podesavanja!$N$3:$Q$9, 4, 0)</f>
        <v>5</v>
      </c>
      <c r="C344" s="229">
        <f ca="1">VLOOKUP( APIF_Import!$N344, Aop!$A$2:$P$456, 4, 0)</f>
        <v>562</v>
      </c>
      <c r="D344" s="230" t="str">
        <f ca="1">IF( ISNA( VLOOKUP( APIF_Import!$O344 &amp; APIF_Import!$D$1,Podesavanja!$AA$3:$AD$28, 4, 0)), "", SUBSTITUTE( VALUE( VLOOKUP( APIF_Import!$C344, INDIRECT( "Lookup_" &amp; APIF_Import!$O344), VLOOKUP( APIF_Import!$O344 &amp; APIF_Import!$D$1,Podesavanja!$AA$3:$AD$28, 4, 0), 0)), ".", ","))</f>
        <v>17445268</v>
      </c>
      <c r="E344" s="230">
        <f ca="1">IF( ISNA( VLOOKUP( APIF_Import!$O344 &amp; APIF_Import!$E$1,Podesavanja!$AA$3:$AD$28, 4, 0)), "", VLOOKUP( APIF_Import!$C344, INDIRECT( "Lookup_" &amp; APIF_Import!$O344), VLOOKUP( APIF_Import!$O344 &amp; APIF_Import!$E$1,Podesavanja!$AA$3:$AD$28, 4, 0), 0))</f>
        <v>828378</v>
      </c>
      <c r="F344" s="230" t="str">
        <f ca="1">IF( ISNA( VLOOKUP( APIF_Import!$O344 &amp; APIF_Import!$F$1,Podesavanja!$AA$3:$AD$28, 4, 0)), "", VLOOKUP( APIF_Import!$C344, INDIRECT( "Lookup_" &amp; APIF_Import!$O344), VLOOKUP( APIF_Import!$O344 &amp; APIF_Import!$F$1,Podesavanja!$AA$3:$AD$28, 4, 0), 0))</f>
        <v/>
      </c>
      <c r="G344" s="230" t="str">
        <f ca="1">IF( ISNA( VLOOKUP( APIF_Import!$O344 &amp; APIF_Import!$G$1,Podesavanja!$AA$3:$AD$28, 4, 0)), "", VLOOKUP( APIF_Import!$C344, INDIRECT( "Lookup_" &amp; APIF_Import!$O344), VLOOKUP( APIF_Import!$O344 &amp; APIF_Import!$G$1,Podesavanja!$AA$3:$AD$28, 4, 0), 0))</f>
        <v/>
      </c>
      <c r="H344" s="230" t="str">
        <f ca="1">IF( ISNA( VLOOKUP( APIF_Import!$O344 &amp; APIF_Import!$H$1,Podesavanja!$AA$3:$AD$28, 4, 0)), "", VLOOKUP( APIF_Import!$C344, INDIRECT( "Lookup_" &amp; APIF_Import!$O344), VLOOKUP( APIF_Import!$O344 &amp; APIF_Import!$H$1,Podesavanja!$AA$3:$AD$28, 4, 0), 0))</f>
        <v/>
      </c>
      <c r="I344" s="230" t="str">
        <f ca="1">IF( ISNA( VLOOKUP( APIF_Import!$O344 &amp; APIF_Import!$I$1,Podesavanja!$AA$3:$AD$28, 4, 0)), "", VLOOKUP( APIF_Import!$C344, INDIRECT( "Lookup_" &amp; APIF_Import!$M344:$O344), VLOOKUP( APIF_Import!$O344 &amp; APIF_Import!$I$1,Podesavanja!$AA$3:$AD$28, 4, 0), 0))</f>
        <v/>
      </c>
      <c r="J344" s="230" t="str">
        <f ca="1">IF( ISNA( VLOOKUP( APIF_Import!$O344 &amp; APIF_Import!$J$1,Podesavanja!$AA$3:$AD$28, 4, 0)), "", VLOOKUP( APIF_Import!$C344, INDIRECT( "Lookup_" &amp; APIF_Import!$M344:$O344), VLOOKUP( APIF_Import!$O344 &amp; APIF_Import!$J$1,Podesavanja!$AA$3:$AD$28, 4, 0), 0))</f>
        <v/>
      </c>
      <c r="K344" s="230" t="str">
        <f ca="1">IF( ISNA( VLOOKUP( APIF_Import!$O344 &amp; APIF_Import!$K$1,Podesavanja!$AA$3:$AD$28, 4, 0)), "", VLOOKUP( APIF_Import!$C344, INDIRECT( "Lookup_" &amp; APIF_Import!$M344:$O344), VLOOKUP( APIF_Import!$O344 &amp; APIF_Import!$K$1,Podesavanja!$AA$3:$AD$28, 4, 0), 0))</f>
        <v/>
      </c>
      <c r="L344" s="230" t="str">
        <f ca="1">IF( ISNA( VLOOKUP( APIF_Import!$O344 &amp; APIF_Import!$L$1,Podesavanja!$AA$3:$AD$28, 4, 0)), "", VLOOKUP( APIF_Import!$C344, INDIRECT( "Lookup_" &amp; APIF_Import!$M344:$O344), VLOOKUP( APIF_Import!$O344 &amp; APIF_Import!$L$1,Podesavanja!$AA$3:$AD$28, 4, 0), 0))</f>
        <v/>
      </c>
      <c r="M344" s="230" t="str">
        <f ca="1">IF( ISNA( VLOOKUP( APIF_Import!$O344 &amp; APIF_Import!$M$1,Podesavanja!$AA$3:$AD$28, 4, 0)), "", VLOOKUP( APIF_Import!$C344, INDIRECT( "Lookup_" &amp; APIF_Import!$M344:$O344), VLOOKUP( APIF_Import!$O344 &amp; APIF_Import!$M$1,Podesavanja!$AA$3:$AD$28, 4, 0), 0))</f>
        <v/>
      </c>
      <c r="N344" s="8">
        <v>345</v>
      </c>
      <c r="O344" s="49" t="s">
        <v>1537</v>
      </c>
    </row>
    <row r="345" spans="2:15">
      <c r="B345" s="44">
        <f ca="1">VLOOKUP( APIF_Import!$O345, Podesavanja!$N$3:$Q$9, 4, 0)</f>
        <v>5</v>
      </c>
      <c r="C345" s="229">
        <f ca="1">VLOOKUP( APIF_Import!$N345, Aop!$A$2:$P$456, 4, 0)</f>
        <v>563</v>
      </c>
      <c r="D345" s="230" t="str">
        <f ca="1">IF( ISNA( VLOOKUP( APIF_Import!$O345 &amp; APIF_Import!$D$1,Podesavanja!$AA$3:$AD$28, 4, 0)), "", SUBSTITUTE( VALUE( VLOOKUP( APIF_Import!$C345, INDIRECT( "Lookup_" &amp; APIF_Import!$O345), VLOOKUP( APIF_Import!$O345 &amp; APIF_Import!$D$1,Podesavanja!$AA$3:$AD$28, 4, 0), 0)), ".", ","))</f>
        <v>16811182</v>
      </c>
      <c r="E345" s="230">
        <f ca="1">IF( ISNA( VLOOKUP( APIF_Import!$O345 &amp; APIF_Import!$E$1,Podesavanja!$AA$3:$AD$28, 4, 0)), "", VLOOKUP( APIF_Import!$C345, INDIRECT( "Lookup_" &amp; APIF_Import!$O345), VLOOKUP( APIF_Import!$O345 &amp; APIF_Import!$E$1,Podesavanja!$AA$3:$AD$28, 4, 0), 0))</f>
        <v>242460</v>
      </c>
      <c r="F345" s="230" t="str">
        <f ca="1">IF( ISNA( VLOOKUP( APIF_Import!$O345 &amp; APIF_Import!$F$1,Podesavanja!$AA$3:$AD$28, 4, 0)), "", VLOOKUP( APIF_Import!$C345, INDIRECT( "Lookup_" &amp; APIF_Import!$O345), VLOOKUP( APIF_Import!$O345 &amp; APIF_Import!$F$1,Podesavanja!$AA$3:$AD$28, 4, 0), 0))</f>
        <v/>
      </c>
      <c r="G345" s="230" t="str">
        <f ca="1">IF( ISNA( VLOOKUP( APIF_Import!$O345 &amp; APIF_Import!$G$1,Podesavanja!$AA$3:$AD$28, 4, 0)), "", VLOOKUP( APIF_Import!$C345, INDIRECT( "Lookup_" &amp; APIF_Import!$O345), VLOOKUP( APIF_Import!$O345 &amp; APIF_Import!$G$1,Podesavanja!$AA$3:$AD$28, 4, 0), 0))</f>
        <v/>
      </c>
      <c r="H345" s="230" t="str">
        <f ca="1">IF( ISNA( VLOOKUP( APIF_Import!$O345 &amp; APIF_Import!$H$1,Podesavanja!$AA$3:$AD$28, 4, 0)), "", VLOOKUP( APIF_Import!$C345, INDIRECT( "Lookup_" &amp; APIF_Import!$O345), VLOOKUP( APIF_Import!$O345 &amp; APIF_Import!$H$1,Podesavanja!$AA$3:$AD$28, 4, 0), 0))</f>
        <v/>
      </c>
      <c r="I345" s="230" t="str">
        <f ca="1">IF( ISNA( VLOOKUP( APIF_Import!$O345 &amp; APIF_Import!$I$1,Podesavanja!$AA$3:$AD$28, 4, 0)), "", VLOOKUP( APIF_Import!$C345, INDIRECT( "Lookup_" &amp; APIF_Import!$M345:$O345), VLOOKUP( APIF_Import!$O345 &amp; APIF_Import!$I$1,Podesavanja!$AA$3:$AD$28, 4, 0), 0))</f>
        <v/>
      </c>
      <c r="J345" s="230" t="str">
        <f ca="1">IF( ISNA( VLOOKUP( APIF_Import!$O345 &amp; APIF_Import!$J$1,Podesavanja!$AA$3:$AD$28, 4, 0)), "", VLOOKUP( APIF_Import!$C345, INDIRECT( "Lookup_" &amp; APIF_Import!$M345:$O345), VLOOKUP( APIF_Import!$O345 &amp; APIF_Import!$J$1,Podesavanja!$AA$3:$AD$28, 4, 0), 0))</f>
        <v/>
      </c>
      <c r="K345" s="230" t="str">
        <f ca="1">IF( ISNA( VLOOKUP( APIF_Import!$O345 &amp; APIF_Import!$K$1,Podesavanja!$AA$3:$AD$28, 4, 0)), "", VLOOKUP( APIF_Import!$C345, INDIRECT( "Lookup_" &amp; APIF_Import!$M345:$O345), VLOOKUP( APIF_Import!$O345 &amp; APIF_Import!$K$1,Podesavanja!$AA$3:$AD$28, 4, 0), 0))</f>
        <v/>
      </c>
      <c r="L345" s="230" t="str">
        <f ca="1">IF( ISNA( VLOOKUP( APIF_Import!$O345 &amp; APIF_Import!$L$1,Podesavanja!$AA$3:$AD$28, 4, 0)), "", VLOOKUP( APIF_Import!$C345, INDIRECT( "Lookup_" &amp; APIF_Import!$M345:$O345), VLOOKUP( APIF_Import!$O345 &amp; APIF_Import!$L$1,Podesavanja!$AA$3:$AD$28, 4, 0), 0))</f>
        <v/>
      </c>
      <c r="M345" s="230" t="str">
        <f ca="1">IF( ISNA( VLOOKUP( APIF_Import!$O345 &amp; APIF_Import!$M$1,Podesavanja!$AA$3:$AD$28, 4, 0)), "", VLOOKUP( APIF_Import!$C345, INDIRECT( "Lookup_" &amp; APIF_Import!$M345:$O345), VLOOKUP( APIF_Import!$O345 &amp; APIF_Import!$M$1,Podesavanja!$AA$3:$AD$28, 4, 0), 0))</f>
        <v/>
      </c>
      <c r="N345" s="8">
        <v>346</v>
      </c>
      <c r="O345" s="49" t="s">
        <v>1537</v>
      </c>
    </row>
    <row r="346" spans="2:15">
      <c r="B346" s="44">
        <f ca="1">VLOOKUP( APIF_Import!$O346, Podesavanja!$N$3:$Q$9, 4, 0)</f>
        <v>5</v>
      </c>
      <c r="C346" s="229">
        <f ca="1">VLOOKUP( APIF_Import!$N346, Aop!$A$2:$P$456, 4, 0)</f>
        <v>564</v>
      </c>
      <c r="D346" s="230" t="str">
        <f ca="1">IF( ISNA( VLOOKUP( APIF_Import!$O346 &amp; APIF_Import!$D$1,Podesavanja!$AA$3:$AD$28, 4, 0)), "", SUBSTITUTE( VALUE( VLOOKUP( APIF_Import!$C346, INDIRECT( "Lookup_" &amp; APIF_Import!$O346), VLOOKUP( APIF_Import!$O346 &amp; APIF_Import!$D$1,Podesavanja!$AA$3:$AD$28, 4, 0), 0)), ".", ","))</f>
        <v>0</v>
      </c>
      <c r="E346" s="230">
        <f ca="1">IF( ISNA( VLOOKUP( APIF_Import!$O346 &amp; APIF_Import!$E$1,Podesavanja!$AA$3:$AD$28, 4, 0)), "", VLOOKUP( APIF_Import!$C346, INDIRECT( "Lookup_" &amp; APIF_Import!$O346), VLOOKUP( APIF_Import!$O346 &amp; APIF_Import!$E$1,Podesavanja!$AA$3:$AD$28, 4, 0), 0))</f>
        <v>0</v>
      </c>
      <c r="F346" s="230" t="str">
        <f ca="1">IF( ISNA( VLOOKUP( APIF_Import!$O346 &amp; APIF_Import!$F$1,Podesavanja!$AA$3:$AD$28, 4, 0)), "", VLOOKUP( APIF_Import!$C346, INDIRECT( "Lookup_" &amp; APIF_Import!$O346), VLOOKUP( APIF_Import!$O346 &amp; APIF_Import!$F$1,Podesavanja!$AA$3:$AD$28, 4, 0), 0))</f>
        <v/>
      </c>
      <c r="G346" s="230" t="str">
        <f ca="1">IF( ISNA( VLOOKUP( APIF_Import!$O346 &amp; APIF_Import!$G$1,Podesavanja!$AA$3:$AD$28, 4, 0)), "", VLOOKUP( APIF_Import!$C346, INDIRECT( "Lookup_" &amp; APIF_Import!$O346), VLOOKUP( APIF_Import!$O346 &amp; APIF_Import!$G$1,Podesavanja!$AA$3:$AD$28, 4, 0), 0))</f>
        <v/>
      </c>
      <c r="H346" s="230" t="str">
        <f ca="1">IF( ISNA( VLOOKUP( APIF_Import!$O346 &amp; APIF_Import!$H$1,Podesavanja!$AA$3:$AD$28, 4, 0)), "", VLOOKUP( APIF_Import!$C346, INDIRECT( "Lookup_" &amp; APIF_Import!$O346), VLOOKUP( APIF_Import!$O346 &amp; APIF_Import!$H$1,Podesavanja!$AA$3:$AD$28, 4, 0), 0))</f>
        <v/>
      </c>
      <c r="I346" s="230" t="str">
        <f ca="1">IF( ISNA( VLOOKUP( APIF_Import!$O346 &amp; APIF_Import!$I$1,Podesavanja!$AA$3:$AD$28, 4, 0)), "", VLOOKUP( APIF_Import!$C346, INDIRECT( "Lookup_" &amp; APIF_Import!$M346:$O346), VLOOKUP( APIF_Import!$O346 &amp; APIF_Import!$I$1,Podesavanja!$AA$3:$AD$28, 4, 0), 0))</f>
        <v/>
      </c>
      <c r="J346" s="230" t="str">
        <f ca="1">IF( ISNA( VLOOKUP( APIF_Import!$O346 &amp; APIF_Import!$J$1,Podesavanja!$AA$3:$AD$28, 4, 0)), "", VLOOKUP( APIF_Import!$C346, INDIRECT( "Lookup_" &amp; APIF_Import!$M346:$O346), VLOOKUP( APIF_Import!$O346 &amp; APIF_Import!$J$1,Podesavanja!$AA$3:$AD$28, 4, 0), 0))</f>
        <v/>
      </c>
      <c r="K346" s="230" t="str">
        <f ca="1">IF( ISNA( VLOOKUP( APIF_Import!$O346 &amp; APIF_Import!$K$1,Podesavanja!$AA$3:$AD$28, 4, 0)), "", VLOOKUP( APIF_Import!$C346, INDIRECT( "Lookup_" &amp; APIF_Import!$M346:$O346), VLOOKUP( APIF_Import!$O346 &amp; APIF_Import!$K$1,Podesavanja!$AA$3:$AD$28, 4, 0), 0))</f>
        <v/>
      </c>
      <c r="L346" s="230" t="str">
        <f ca="1">IF( ISNA( VLOOKUP( APIF_Import!$O346 &amp; APIF_Import!$L$1,Podesavanja!$AA$3:$AD$28, 4, 0)), "", VLOOKUP( APIF_Import!$C346, INDIRECT( "Lookup_" &amp; APIF_Import!$M346:$O346), VLOOKUP( APIF_Import!$O346 &amp; APIF_Import!$L$1,Podesavanja!$AA$3:$AD$28, 4, 0), 0))</f>
        <v/>
      </c>
      <c r="M346" s="230" t="str">
        <f ca="1">IF( ISNA( VLOOKUP( APIF_Import!$O346 &amp; APIF_Import!$M$1,Podesavanja!$AA$3:$AD$28, 4, 0)), "", VLOOKUP( APIF_Import!$C346, INDIRECT( "Lookup_" &amp; APIF_Import!$M346:$O346), VLOOKUP( APIF_Import!$O346 &amp; APIF_Import!$M$1,Podesavanja!$AA$3:$AD$28, 4, 0), 0))</f>
        <v/>
      </c>
      <c r="N346" s="8">
        <v>347</v>
      </c>
      <c r="O346" s="49" t="s">
        <v>1537</v>
      </c>
    </row>
    <row r="347" spans="2:15">
      <c r="B347" s="44">
        <f ca="1">VLOOKUP( APIF_Import!$O347, Podesavanja!$N$3:$Q$9, 4, 0)</f>
        <v>5</v>
      </c>
      <c r="C347" s="229">
        <f ca="1">VLOOKUP( APIF_Import!$N347, Aop!$A$2:$P$456, 4, 0)</f>
        <v>565</v>
      </c>
      <c r="D347" s="230" t="str">
        <f ca="1">IF( ISNA( VLOOKUP( APIF_Import!$O347 &amp; APIF_Import!$D$1,Podesavanja!$AA$3:$AD$28, 4, 0)), "", SUBSTITUTE( VALUE( VLOOKUP( APIF_Import!$C347, INDIRECT( "Lookup_" &amp; APIF_Import!$O347), VLOOKUP( APIF_Import!$O347 &amp; APIF_Import!$D$1,Podesavanja!$AA$3:$AD$28, 4, 0), 0)), ".", ","))</f>
        <v>1877593</v>
      </c>
      <c r="E347" s="230">
        <f ca="1">IF( ISNA( VLOOKUP( APIF_Import!$O347 &amp; APIF_Import!$E$1,Podesavanja!$AA$3:$AD$28, 4, 0)), "", VLOOKUP( APIF_Import!$C347, INDIRECT( "Lookup_" &amp; APIF_Import!$O347), VLOOKUP( APIF_Import!$O347 &amp; APIF_Import!$E$1,Podesavanja!$AA$3:$AD$28, 4, 0), 0))</f>
        <v>297053</v>
      </c>
      <c r="F347" s="230" t="str">
        <f ca="1">IF( ISNA( VLOOKUP( APIF_Import!$O347 &amp; APIF_Import!$F$1,Podesavanja!$AA$3:$AD$28, 4, 0)), "", VLOOKUP( APIF_Import!$C347, INDIRECT( "Lookup_" &amp; APIF_Import!$O347), VLOOKUP( APIF_Import!$O347 &amp; APIF_Import!$F$1,Podesavanja!$AA$3:$AD$28, 4, 0), 0))</f>
        <v/>
      </c>
      <c r="G347" s="230" t="str">
        <f ca="1">IF( ISNA( VLOOKUP( APIF_Import!$O347 &amp; APIF_Import!$G$1,Podesavanja!$AA$3:$AD$28, 4, 0)), "", VLOOKUP( APIF_Import!$C347, INDIRECT( "Lookup_" &amp; APIF_Import!$O347), VLOOKUP( APIF_Import!$O347 &amp; APIF_Import!$G$1,Podesavanja!$AA$3:$AD$28, 4, 0), 0))</f>
        <v/>
      </c>
      <c r="H347" s="230" t="str">
        <f ca="1">IF( ISNA( VLOOKUP( APIF_Import!$O347 &amp; APIF_Import!$H$1,Podesavanja!$AA$3:$AD$28, 4, 0)), "", VLOOKUP( APIF_Import!$C347, INDIRECT( "Lookup_" &amp; APIF_Import!$O347), VLOOKUP( APIF_Import!$O347 &amp; APIF_Import!$H$1,Podesavanja!$AA$3:$AD$28, 4, 0), 0))</f>
        <v/>
      </c>
      <c r="I347" s="230" t="str">
        <f ca="1">IF( ISNA( VLOOKUP( APIF_Import!$O347 &amp; APIF_Import!$I$1,Podesavanja!$AA$3:$AD$28, 4, 0)), "", VLOOKUP( APIF_Import!$C347, INDIRECT( "Lookup_" &amp; APIF_Import!$M347:$O347), VLOOKUP( APIF_Import!$O347 &amp; APIF_Import!$I$1,Podesavanja!$AA$3:$AD$28, 4, 0), 0))</f>
        <v/>
      </c>
      <c r="J347" s="230" t="str">
        <f ca="1">IF( ISNA( VLOOKUP( APIF_Import!$O347 &amp; APIF_Import!$J$1,Podesavanja!$AA$3:$AD$28, 4, 0)), "", VLOOKUP( APIF_Import!$C347, INDIRECT( "Lookup_" &amp; APIF_Import!$M347:$O347), VLOOKUP( APIF_Import!$O347 &amp; APIF_Import!$J$1,Podesavanja!$AA$3:$AD$28, 4, 0), 0))</f>
        <v/>
      </c>
      <c r="K347" s="230" t="str">
        <f ca="1">IF( ISNA( VLOOKUP( APIF_Import!$O347 &amp; APIF_Import!$K$1,Podesavanja!$AA$3:$AD$28, 4, 0)), "", VLOOKUP( APIF_Import!$C347, INDIRECT( "Lookup_" &amp; APIF_Import!$M347:$O347), VLOOKUP( APIF_Import!$O347 &amp; APIF_Import!$K$1,Podesavanja!$AA$3:$AD$28, 4, 0), 0))</f>
        <v/>
      </c>
      <c r="L347" s="230" t="str">
        <f ca="1">IF( ISNA( VLOOKUP( APIF_Import!$O347 &amp; APIF_Import!$L$1,Podesavanja!$AA$3:$AD$28, 4, 0)), "", VLOOKUP( APIF_Import!$C347, INDIRECT( "Lookup_" &amp; APIF_Import!$M347:$O347), VLOOKUP( APIF_Import!$O347 &amp; APIF_Import!$L$1,Podesavanja!$AA$3:$AD$28, 4, 0), 0))</f>
        <v/>
      </c>
      <c r="M347" s="230" t="str">
        <f ca="1">IF( ISNA( VLOOKUP( APIF_Import!$O347 &amp; APIF_Import!$M$1,Podesavanja!$AA$3:$AD$28, 4, 0)), "", VLOOKUP( APIF_Import!$C347, INDIRECT( "Lookup_" &amp; APIF_Import!$M347:$O347), VLOOKUP( APIF_Import!$O347 &amp; APIF_Import!$M$1,Podesavanja!$AA$3:$AD$28, 4, 0), 0))</f>
        <v/>
      </c>
      <c r="N347" s="8">
        <v>348</v>
      </c>
      <c r="O347" s="49" t="s">
        <v>1537</v>
      </c>
    </row>
    <row r="348" spans="2:15">
      <c r="B348" s="44">
        <f ca="1">VLOOKUP( APIF_Import!$O348, Podesavanja!$N$3:$Q$9, 4, 0)</f>
        <v>5</v>
      </c>
      <c r="C348" s="229">
        <f ca="1">VLOOKUP( APIF_Import!$N348, Aop!$A$2:$P$456, 4, 0)</f>
        <v>566</v>
      </c>
      <c r="D348" s="230" t="str">
        <f ca="1">IF( ISNA( VLOOKUP( APIF_Import!$O348 &amp; APIF_Import!$D$1,Podesavanja!$AA$3:$AD$28, 4, 0)), "", SUBSTITUTE( VALUE( VLOOKUP( APIF_Import!$C348, INDIRECT( "Lookup_" &amp; APIF_Import!$O348), VLOOKUP( APIF_Import!$O348 &amp; APIF_Import!$D$1,Podesavanja!$AA$3:$AD$28, 4, 0), 0)), ".", ","))</f>
        <v>0</v>
      </c>
      <c r="E348" s="230">
        <f ca="1">IF( ISNA( VLOOKUP( APIF_Import!$O348 &amp; APIF_Import!$E$1,Podesavanja!$AA$3:$AD$28, 4, 0)), "", VLOOKUP( APIF_Import!$C348, INDIRECT( "Lookup_" &amp; APIF_Import!$O348), VLOOKUP( APIF_Import!$O348 &amp; APIF_Import!$E$1,Podesavanja!$AA$3:$AD$28, 4, 0), 0))</f>
        <v>0</v>
      </c>
      <c r="F348" s="230" t="str">
        <f ca="1">IF( ISNA( VLOOKUP( APIF_Import!$O348 &amp; APIF_Import!$F$1,Podesavanja!$AA$3:$AD$28, 4, 0)), "", VLOOKUP( APIF_Import!$C348, INDIRECT( "Lookup_" &amp; APIF_Import!$O348), VLOOKUP( APIF_Import!$O348 &amp; APIF_Import!$F$1,Podesavanja!$AA$3:$AD$28, 4, 0), 0))</f>
        <v/>
      </c>
      <c r="G348" s="230" t="str">
        <f ca="1">IF( ISNA( VLOOKUP( APIF_Import!$O348 &amp; APIF_Import!$G$1,Podesavanja!$AA$3:$AD$28, 4, 0)), "", VLOOKUP( APIF_Import!$C348, INDIRECT( "Lookup_" &amp; APIF_Import!$O348), VLOOKUP( APIF_Import!$O348 &amp; APIF_Import!$G$1,Podesavanja!$AA$3:$AD$28, 4, 0), 0))</f>
        <v/>
      </c>
      <c r="H348" s="230" t="str">
        <f ca="1">IF( ISNA( VLOOKUP( APIF_Import!$O348 &amp; APIF_Import!$H$1,Podesavanja!$AA$3:$AD$28, 4, 0)), "", VLOOKUP( APIF_Import!$C348, INDIRECT( "Lookup_" &amp; APIF_Import!$O348), VLOOKUP( APIF_Import!$O348 &amp; APIF_Import!$H$1,Podesavanja!$AA$3:$AD$28, 4, 0), 0))</f>
        <v/>
      </c>
      <c r="I348" s="230" t="str">
        <f ca="1">IF( ISNA( VLOOKUP( APIF_Import!$O348 &amp; APIF_Import!$I$1,Podesavanja!$AA$3:$AD$28, 4, 0)), "", VLOOKUP( APIF_Import!$C348, INDIRECT( "Lookup_" &amp; APIF_Import!$M348:$O348), VLOOKUP( APIF_Import!$O348 &amp; APIF_Import!$I$1,Podesavanja!$AA$3:$AD$28, 4, 0), 0))</f>
        <v/>
      </c>
      <c r="J348" s="230" t="str">
        <f ca="1">IF( ISNA( VLOOKUP( APIF_Import!$O348 &amp; APIF_Import!$J$1,Podesavanja!$AA$3:$AD$28, 4, 0)), "", VLOOKUP( APIF_Import!$C348, INDIRECT( "Lookup_" &amp; APIF_Import!$M348:$O348), VLOOKUP( APIF_Import!$O348 &amp; APIF_Import!$J$1,Podesavanja!$AA$3:$AD$28, 4, 0), 0))</f>
        <v/>
      </c>
      <c r="K348" s="230" t="str">
        <f ca="1">IF( ISNA( VLOOKUP( APIF_Import!$O348 &amp; APIF_Import!$K$1,Podesavanja!$AA$3:$AD$28, 4, 0)), "", VLOOKUP( APIF_Import!$C348, INDIRECT( "Lookup_" &amp; APIF_Import!$M348:$O348), VLOOKUP( APIF_Import!$O348 &amp; APIF_Import!$K$1,Podesavanja!$AA$3:$AD$28, 4, 0), 0))</f>
        <v/>
      </c>
      <c r="L348" s="230" t="str">
        <f ca="1">IF( ISNA( VLOOKUP( APIF_Import!$O348 &amp; APIF_Import!$L$1,Podesavanja!$AA$3:$AD$28, 4, 0)), "", VLOOKUP( APIF_Import!$C348, INDIRECT( "Lookup_" &amp; APIF_Import!$M348:$O348), VLOOKUP( APIF_Import!$O348 &amp; APIF_Import!$L$1,Podesavanja!$AA$3:$AD$28, 4, 0), 0))</f>
        <v/>
      </c>
      <c r="M348" s="230" t="str">
        <f ca="1">IF( ISNA( VLOOKUP( APIF_Import!$O348 &amp; APIF_Import!$M$1,Podesavanja!$AA$3:$AD$28, 4, 0)), "", VLOOKUP( APIF_Import!$C348, INDIRECT( "Lookup_" &amp; APIF_Import!$M348:$O348), VLOOKUP( APIF_Import!$O348 &amp; APIF_Import!$M$1,Podesavanja!$AA$3:$AD$28, 4, 0), 0))</f>
        <v/>
      </c>
      <c r="N348" s="8">
        <v>349</v>
      </c>
      <c r="O348" s="49" t="s">
        <v>1537</v>
      </c>
    </row>
    <row r="349" spans="2:15">
      <c r="B349" s="44">
        <f ca="1">VLOOKUP( APIF_Import!$O349, Podesavanja!$N$3:$Q$9, 4, 0)</f>
        <v>5</v>
      </c>
      <c r="C349" s="229">
        <f ca="1">VLOOKUP( APIF_Import!$N349, Aop!$A$2:$P$456, 4, 0)</f>
        <v>567</v>
      </c>
      <c r="D349" s="230" t="str">
        <f ca="1">IF( ISNA( VLOOKUP( APIF_Import!$O349 &amp; APIF_Import!$D$1,Podesavanja!$AA$3:$AD$28, 4, 0)), "", SUBSTITUTE( VALUE( VLOOKUP( APIF_Import!$C349, INDIRECT( "Lookup_" &amp; APIF_Import!$O349), VLOOKUP( APIF_Import!$O349 &amp; APIF_Import!$D$1,Podesavanja!$AA$3:$AD$28, 4, 0), 0)), ".", ","))</f>
        <v>0</v>
      </c>
      <c r="E349" s="230">
        <f ca="1">IF( ISNA( VLOOKUP( APIF_Import!$O349 &amp; APIF_Import!$E$1,Podesavanja!$AA$3:$AD$28, 4, 0)), "", VLOOKUP( APIF_Import!$C349, INDIRECT( "Lookup_" &amp; APIF_Import!$O349), VLOOKUP( APIF_Import!$O349 &amp; APIF_Import!$E$1,Podesavanja!$AA$3:$AD$28, 4, 0), 0))</f>
        <v>0</v>
      </c>
      <c r="F349" s="230" t="str">
        <f ca="1">IF( ISNA( VLOOKUP( APIF_Import!$O349 &amp; APIF_Import!$F$1,Podesavanja!$AA$3:$AD$28, 4, 0)), "", VLOOKUP( APIF_Import!$C349, INDIRECT( "Lookup_" &amp; APIF_Import!$O349), VLOOKUP( APIF_Import!$O349 &amp; APIF_Import!$F$1,Podesavanja!$AA$3:$AD$28, 4, 0), 0))</f>
        <v/>
      </c>
      <c r="G349" s="230" t="str">
        <f ca="1">IF( ISNA( VLOOKUP( APIF_Import!$O349 &amp; APIF_Import!$G$1,Podesavanja!$AA$3:$AD$28, 4, 0)), "", VLOOKUP( APIF_Import!$C349, INDIRECT( "Lookup_" &amp; APIF_Import!$O349), VLOOKUP( APIF_Import!$O349 &amp; APIF_Import!$G$1,Podesavanja!$AA$3:$AD$28, 4, 0), 0))</f>
        <v/>
      </c>
      <c r="H349" s="230" t="str">
        <f ca="1">IF( ISNA( VLOOKUP( APIF_Import!$O349 &amp; APIF_Import!$H$1,Podesavanja!$AA$3:$AD$28, 4, 0)), "", VLOOKUP( APIF_Import!$C349, INDIRECT( "Lookup_" &amp; APIF_Import!$O349), VLOOKUP( APIF_Import!$O349 &amp; APIF_Import!$H$1,Podesavanja!$AA$3:$AD$28, 4, 0), 0))</f>
        <v/>
      </c>
      <c r="I349" s="230" t="str">
        <f ca="1">IF( ISNA( VLOOKUP( APIF_Import!$O349 &amp; APIF_Import!$I$1,Podesavanja!$AA$3:$AD$28, 4, 0)), "", VLOOKUP( APIF_Import!$C349, INDIRECT( "Lookup_" &amp; APIF_Import!$M349:$O349), VLOOKUP( APIF_Import!$O349 &amp; APIF_Import!$I$1,Podesavanja!$AA$3:$AD$28, 4, 0), 0))</f>
        <v/>
      </c>
      <c r="J349" s="230" t="str">
        <f ca="1">IF( ISNA( VLOOKUP( APIF_Import!$O349 &amp; APIF_Import!$J$1,Podesavanja!$AA$3:$AD$28, 4, 0)), "", VLOOKUP( APIF_Import!$C349, INDIRECT( "Lookup_" &amp; APIF_Import!$M349:$O349), VLOOKUP( APIF_Import!$O349 &amp; APIF_Import!$J$1,Podesavanja!$AA$3:$AD$28, 4, 0), 0))</f>
        <v/>
      </c>
      <c r="K349" s="230" t="str">
        <f ca="1">IF( ISNA( VLOOKUP( APIF_Import!$O349 &amp; APIF_Import!$K$1,Podesavanja!$AA$3:$AD$28, 4, 0)), "", VLOOKUP( APIF_Import!$C349, INDIRECT( "Lookup_" &amp; APIF_Import!$M349:$O349), VLOOKUP( APIF_Import!$O349 &amp; APIF_Import!$K$1,Podesavanja!$AA$3:$AD$28, 4, 0), 0))</f>
        <v/>
      </c>
      <c r="L349" s="230" t="str">
        <f ca="1">IF( ISNA( VLOOKUP( APIF_Import!$O349 &amp; APIF_Import!$L$1,Podesavanja!$AA$3:$AD$28, 4, 0)), "", VLOOKUP( APIF_Import!$C349, INDIRECT( "Lookup_" &amp; APIF_Import!$M349:$O349), VLOOKUP( APIF_Import!$O349 &amp; APIF_Import!$L$1,Podesavanja!$AA$3:$AD$28, 4, 0), 0))</f>
        <v/>
      </c>
      <c r="M349" s="230" t="str">
        <f ca="1">IF( ISNA( VLOOKUP( APIF_Import!$O349 &amp; APIF_Import!$M$1,Podesavanja!$AA$3:$AD$28, 4, 0)), "", VLOOKUP( APIF_Import!$C349, INDIRECT( "Lookup_" &amp; APIF_Import!$M349:$O349), VLOOKUP( APIF_Import!$O349 &amp; APIF_Import!$M$1,Podesavanja!$AA$3:$AD$28, 4, 0), 0))</f>
        <v/>
      </c>
      <c r="N349" s="8">
        <v>350</v>
      </c>
      <c r="O349" s="49" t="s">
        <v>1537</v>
      </c>
    </row>
    <row r="350" spans="2:15">
      <c r="B350" s="497">
        <f ca="1">VLOOKUP( APIF_Import!$O350, Podesavanja!$N$3:$Q$9, 4, 0)</f>
        <v>5</v>
      </c>
      <c r="C350" s="229">
        <f ca="1">VLOOKUP( APIF_Import!$N350, Aop!$A$2:$P$456, 4, 0)</f>
        <v>568</v>
      </c>
      <c r="D350" s="230" t="str">
        <f ca="1">IF( ISNA( VLOOKUP( APIF_Import!$O350 &amp; APIF_Import!$D$1,Podesavanja!$AA$3:$AD$28, 4, 0)), "", SUBSTITUTE( VALUE( VLOOKUP( APIF_Import!$C350, INDIRECT( "Lookup_" &amp; APIF_Import!$O350), VLOOKUP( APIF_Import!$O350 &amp; APIF_Import!$D$1,Podesavanja!$AA$3:$AD$28, 4, 0), 0)), ".", ","))</f>
        <v>18688775</v>
      </c>
      <c r="E350" s="230">
        <f ca="1">IF( ISNA( VLOOKUP( APIF_Import!$O350 &amp; APIF_Import!$E$1,Podesavanja!$AA$3:$AD$28, 4, 0)), "", VLOOKUP( APIF_Import!$C350, INDIRECT( "Lookup_" &amp; APIF_Import!$O350), VLOOKUP( APIF_Import!$O350 &amp; APIF_Import!$E$1,Podesavanja!$AA$3:$AD$28, 4, 0), 0))</f>
        <v>539513</v>
      </c>
      <c r="F350" s="230" t="str">
        <f ca="1">IF( ISNA( VLOOKUP( APIF_Import!$O350 &amp; APIF_Import!$F$1,Podesavanja!$AA$3:$AD$28, 4, 0)), "", VLOOKUP( APIF_Import!$C350, INDIRECT( "Lookup_" &amp; APIF_Import!$O350), VLOOKUP( APIF_Import!$O350 &amp; APIF_Import!$F$1,Podesavanja!$AA$3:$AD$28, 4, 0), 0))</f>
        <v/>
      </c>
      <c r="G350" s="230" t="str">
        <f ca="1">IF( ISNA( VLOOKUP( APIF_Import!$O350 &amp; APIF_Import!$G$1,Podesavanja!$AA$3:$AD$28, 4, 0)), "", VLOOKUP( APIF_Import!$C350, INDIRECT( "Lookup_" &amp; APIF_Import!$O350), VLOOKUP( APIF_Import!$O350 &amp; APIF_Import!$G$1,Podesavanja!$AA$3:$AD$28, 4, 0), 0))</f>
        <v/>
      </c>
      <c r="H350" s="230" t="str">
        <f ca="1">IF( ISNA( VLOOKUP( APIF_Import!$O350 &amp; APIF_Import!$H$1,Podesavanja!$AA$3:$AD$28, 4, 0)), "", VLOOKUP( APIF_Import!$C350, INDIRECT( "Lookup_" &amp; APIF_Import!$O350), VLOOKUP( APIF_Import!$O350 &amp; APIF_Import!$H$1,Podesavanja!$AA$3:$AD$28, 4, 0), 0))</f>
        <v/>
      </c>
      <c r="I350" s="230" t="str">
        <f ca="1">IF( ISNA( VLOOKUP( APIF_Import!$O350 &amp; APIF_Import!$I$1,Podesavanja!$AA$3:$AD$28, 4, 0)), "", VLOOKUP( APIF_Import!$C350, INDIRECT( "Lookup_" &amp; APIF_Import!$M350:$O350), VLOOKUP( APIF_Import!$O350 &amp; APIF_Import!$I$1,Podesavanja!$AA$3:$AD$28, 4, 0), 0))</f>
        <v/>
      </c>
      <c r="J350" s="230" t="str">
        <f ca="1">IF( ISNA( VLOOKUP( APIF_Import!$O350 &amp; APIF_Import!$J$1,Podesavanja!$AA$3:$AD$28, 4, 0)), "", VLOOKUP( APIF_Import!$C350, INDIRECT( "Lookup_" &amp; APIF_Import!$M350:$O350), VLOOKUP( APIF_Import!$O350 &amp; APIF_Import!$J$1,Podesavanja!$AA$3:$AD$28, 4, 0), 0))</f>
        <v/>
      </c>
      <c r="K350" s="230" t="str">
        <f ca="1">IF( ISNA( VLOOKUP( APIF_Import!$O350 &amp; APIF_Import!$K$1,Podesavanja!$AA$3:$AD$28, 4, 0)), "", VLOOKUP( APIF_Import!$C350, INDIRECT( "Lookup_" &amp; APIF_Import!$M350:$O350), VLOOKUP( APIF_Import!$O350 &amp; APIF_Import!$K$1,Podesavanja!$AA$3:$AD$28, 4, 0), 0))</f>
        <v/>
      </c>
      <c r="L350" s="230" t="str">
        <f ca="1">IF( ISNA( VLOOKUP( APIF_Import!$O350 &amp; APIF_Import!$L$1,Podesavanja!$AA$3:$AD$28, 4, 0)), "", VLOOKUP( APIF_Import!$C350, INDIRECT( "Lookup_" &amp; APIF_Import!$M350:$O350), VLOOKUP( APIF_Import!$O350 &amp; APIF_Import!$L$1,Podesavanja!$AA$3:$AD$28, 4, 0), 0))</f>
        <v/>
      </c>
      <c r="M350" s="230" t="str">
        <f ca="1">IF( ISNA( VLOOKUP( APIF_Import!$O350 &amp; APIF_Import!$M$1,Podesavanja!$AA$3:$AD$28, 4, 0)), "", VLOOKUP( APIF_Import!$C350, INDIRECT( "Lookup_" &amp; APIF_Import!$M350:$O350), VLOOKUP( APIF_Import!$O350 &amp; APIF_Import!$M$1,Podesavanja!$AA$3:$AD$28, 4, 0), 0))</f>
        <v/>
      </c>
      <c r="N350" s="8">
        <v>351</v>
      </c>
      <c r="O350" s="49" t="s">
        <v>1537</v>
      </c>
    </row>
    <row r="351" spans="2:15">
      <c r="B351" s="44">
        <f ca="1">VLOOKUP( APIF_Import!$O351, Podesavanja!$N$3:$Q$9, 4, 0)</f>
        <v>4</v>
      </c>
      <c r="C351" s="229">
        <f ca="1">VLOOKUP( APIF_Import!$N351, Aop!$A$2:$P$456, 4, 0)</f>
        <v>601</v>
      </c>
      <c r="D351" s="230" t="str">
        <f ca="1">IF( ISNA( VLOOKUP( APIF_Import!$O351 &amp; APIF_Import!$D$1,Podesavanja!$AA$3:$AD$28, 4, 0)), "", SUBSTITUTE( VALUE( VLOOKUP( APIF_Import!$C351, INDIRECT( "Lookup_" &amp; APIF_Import!$O351), VLOOKUP( APIF_Import!$O351 &amp; APIF_Import!$D$1,Podesavanja!$AA$3:$AD$28, 4, 0), 0)), ".", ","))</f>
        <v>0</v>
      </c>
      <c r="E351" s="230">
        <f ca="1">IF( ISNA( VLOOKUP( APIF_Import!$O351 &amp; APIF_Import!$E$1,Podesavanja!$AA$3:$AD$28, 4, 0)), "", VLOOKUP( APIF_Import!$C351, INDIRECT( "Lookup_" &amp; APIF_Import!$O351), VLOOKUP( APIF_Import!$O351 &amp; APIF_Import!$E$1,Podesavanja!$AA$3:$AD$28, 4, 0), 0))</f>
        <v>0</v>
      </c>
      <c r="F351" s="230" t="str">
        <f ca="1">IF( ISNA( VLOOKUP( APIF_Import!$O351 &amp; APIF_Import!$F$1,Podesavanja!$AA$3:$AD$28, 4, 0)), "", VLOOKUP( APIF_Import!$C351, INDIRECT( "Lookup_" &amp; APIF_Import!$O351), VLOOKUP( APIF_Import!$O351 &amp; APIF_Import!$F$1,Podesavanja!$AA$3:$AD$28, 4, 0), 0))</f>
        <v/>
      </c>
      <c r="G351" s="230" t="str">
        <f ca="1">IF( ISNA( VLOOKUP( APIF_Import!$O351 &amp; APIF_Import!$G$1,Podesavanja!$AA$3:$AD$28, 4, 0)), "", VLOOKUP( APIF_Import!$C351, INDIRECT( "Lookup_" &amp; APIF_Import!$O351), VLOOKUP( APIF_Import!$O351 &amp; APIF_Import!$G$1,Podesavanja!$AA$3:$AD$28, 4, 0), 0))</f>
        <v/>
      </c>
      <c r="H351" s="230" t="str">
        <f ca="1">IF( ISNA( VLOOKUP( APIF_Import!$O351 &amp; APIF_Import!$H$1,Podesavanja!$AA$3:$AD$28, 4, 0)), "", VLOOKUP( APIF_Import!$C351, INDIRECT( "Lookup_" &amp; APIF_Import!$O351), VLOOKUP( APIF_Import!$O351 &amp; APIF_Import!$H$1,Podesavanja!$AA$3:$AD$28, 4, 0), 0))</f>
        <v/>
      </c>
      <c r="I351" s="230" t="str">
        <f ca="1">IF( ISNA( VLOOKUP( APIF_Import!$O351 &amp; APIF_Import!$I$1,Podesavanja!$AA$3:$AD$28, 4, 0)), "", VLOOKUP( APIF_Import!$C351, INDIRECT( "Lookup_" &amp; APIF_Import!$M351:$O351), VLOOKUP( APIF_Import!$O351 &amp; APIF_Import!$I$1,Podesavanja!$AA$3:$AD$28, 4, 0), 0))</f>
        <v/>
      </c>
      <c r="J351" s="230" t="str">
        <f ca="1">IF( ISNA( VLOOKUP( APIF_Import!$O351 &amp; APIF_Import!$J$1,Podesavanja!$AA$3:$AD$28, 4, 0)), "", VLOOKUP( APIF_Import!$C351, INDIRECT( "Lookup_" &amp; APIF_Import!$M351:$O351), VLOOKUP( APIF_Import!$O351 &amp; APIF_Import!$J$1,Podesavanja!$AA$3:$AD$28, 4, 0), 0))</f>
        <v/>
      </c>
      <c r="K351" s="230" t="str">
        <f ca="1">IF( ISNA( VLOOKUP( APIF_Import!$O351 &amp; APIF_Import!$K$1,Podesavanja!$AA$3:$AD$28, 4, 0)), "", VLOOKUP( APIF_Import!$C351, INDIRECT( "Lookup_" &amp; APIF_Import!$M351:$O351), VLOOKUP( APIF_Import!$O351 &amp; APIF_Import!$K$1,Podesavanja!$AA$3:$AD$28, 4, 0), 0))</f>
        <v/>
      </c>
      <c r="L351" s="230" t="str">
        <f ca="1">IF( ISNA( VLOOKUP( APIF_Import!$O351 &amp; APIF_Import!$L$1,Podesavanja!$AA$3:$AD$28, 4, 0)), "", VLOOKUP( APIF_Import!$C351, INDIRECT( "Lookup_" &amp; APIF_Import!$M351:$O351), VLOOKUP( APIF_Import!$O351 &amp; APIF_Import!$L$1,Podesavanja!$AA$3:$AD$28, 4, 0), 0))</f>
        <v/>
      </c>
      <c r="M351" s="230" t="str">
        <f ca="1">IF( ISNA( VLOOKUP( APIF_Import!$O351 &amp; APIF_Import!$M$1,Podesavanja!$AA$3:$AD$28, 4, 0)), "", VLOOKUP( APIF_Import!$C351, INDIRECT( "Lookup_" &amp; APIF_Import!$M351:$O351), VLOOKUP( APIF_Import!$O351 &amp; APIF_Import!$M$1,Podesavanja!$AA$3:$AD$28, 4, 0), 0))</f>
        <v/>
      </c>
      <c r="N351" s="8">
        <v>352</v>
      </c>
      <c r="O351" s="8" t="s">
        <v>1538</v>
      </c>
    </row>
    <row r="352" spans="2:15">
      <c r="B352" s="44">
        <f ca="1">VLOOKUP( APIF_Import!$O352, Podesavanja!$N$3:$Q$9, 4, 0)</f>
        <v>4</v>
      </c>
      <c r="C352" s="229">
        <f ca="1">VLOOKUP( APIF_Import!$N352, Aop!$A$2:$P$456, 4, 0)</f>
        <v>602</v>
      </c>
      <c r="D352" s="230" t="str">
        <f ca="1">IF( ISNA( VLOOKUP( APIF_Import!$O352 &amp; APIF_Import!$D$1,Podesavanja!$AA$3:$AD$28, 4, 0)), "", SUBSTITUTE( VALUE( VLOOKUP( APIF_Import!$C352, INDIRECT( "Lookup_" &amp; APIF_Import!$O352), VLOOKUP( APIF_Import!$O352 &amp; APIF_Import!$D$1,Podesavanja!$AA$3:$AD$28, 4, 0), 0)), ".", ","))</f>
        <v>1012834</v>
      </c>
      <c r="E352" s="230">
        <f ca="1">IF( ISNA( VLOOKUP( APIF_Import!$O352 &amp; APIF_Import!$E$1,Podesavanja!$AA$3:$AD$28, 4, 0)), "", VLOOKUP( APIF_Import!$C352, INDIRECT( "Lookup_" &amp; APIF_Import!$O352), VLOOKUP( APIF_Import!$O352 &amp; APIF_Import!$E$1,Podesavanja!$AA$3:$AD$28, 4, 0), 0))</f>
        <v>573010</v>
      </c>
      <c r="F352" s="230" t="str">
        <f ca="1">IF( ISNA( VLOOKUP( APIF_Import!$O352 &amp; APIF_Import!$F$1,Podesavanja!$AA$3:$AD$28, 4, 0)), "", VLOOKUP( APIF_Import!$C352, INDIRECT( "Lookup_" &amp; APIF_Import!$O352), VLOOKUP( APIF_Import!$O352 &amp; APIF_Import!$F$1,Podesavanja!$AA$3:$AD$28, 4, 0), 0))</f>
        <v/>
      </c>
      <c r="G352" s="230" t="str">
        <f ca="1">IF( ISNA( VLOOKUP( APIF_Import!$O352 &amp; APIF_Import!$G$1,Podesavanja!$AA$3:$AD$28, 4, 0)), "", VLOOKUP( APIF_Import!$C352, INDIRECT( "Lookup_" &amp; APIF_Import!$O352), VLOOKUP( APIF_Import!$O352 &amp; APIF_Import!$G$1,Podesavanja!$AA$3:$AD$28, 4, 0), 0))</f>
        <v/>
      </c>
      <c r="H352" s="230" t="str">
        <f ca="1">IF( ISNA( VLOOKUP( APIF_Import!$O352 &amp; APIF_Import!$H$1,Podesavanja!$AA$3:$AD$28, 4, 0)), "", VLOOKUP( APIF_Import!$C352, INDIRECT( "Lookup_" &amp; APIF_Import!$O352), VLOOKUP( APIF_Import!$O352 &amp; APIF_Import!$H$1,Podesavanja!$AA$3:$AD$28, 4, 0), 0))</f>
        <v/>
      </c>
      <c r="I352" s="230" t="str">
        <f ca="1">IF( ISNA( VLOOKUP( APIF_Import!$O352 &amp; APIF_Import!$I$1,Podesavanja!$AA$3:$AD$28, 4, 0)), "", VLOOKUP( APIF_Import!$C352, INDIRECT( "Lookup_" &amp; APIF_Import!$M352:$O352), VLOOKUP( APIF_Import!$O352 &amp; APIF_Import!$I$1,Podesavanja!$AA$3:$AD$28, 4, 0), 0))</f>
        <v/>
      </c>
      <c r="J352" s="230" t="str">
        <f ca="1">IF( ISNA( VLOOKUP( APIF_Import!$O352 &amp; APIF_Import!$J$1,Podesavanja!$AA$3:$AD$28, 4, 0)), "", VLOOKUP( APIF_Import!$C352, INDIRECT( "Lookup_" &amp; APIF_Import!$M352:$O352), VLOOKUP( APIF_Import!$O352 &amp; APIF_Import!$J$1,Podesavanja!$AA$3:$AD$28, 4, 0), 0))</f>
        <v/>
      </c>
      <c r="K352" s="230" t="str">
        <f ca="1">IF( ISNA( VLOOKUP( APIF_Import!$O352 &amp; APIF_Import!$K$1,Podesavanja!$AA$3:$AD$28, 4, 0)), "", VLOOKUP( APIF_Import!$C352, INDIRECT( "Lookup_" &amp; APIF_Import!$M352:$O352), VLOOKUP( APIF_Import!$O352 &amp; APIF_Import!$K$1,Podesavanja!$AA$3:$AD$28, 4, 0), 0))</f>
        <v/>
      </c>
      <c r="L352" s="230" t="str">
        <f ca="1">IF( ISNA( VLOOKUP( APIF_Import!$O352 &amp; APIF_Import!$L$1,Podesavanja!$AA$3:$AD$28, 4, 0)), "", VLOOKUP( APIF_Import!$C352, INDIRECT( "Lookup_" &amp; APIF_Import!$M352:$O352), VLOOKUP( APIF_Import!$O352 &amp; APIF_Import!$L$1,Podesavanja!$AA$3:$AD$28, 4, 0), 0))</f>
        <v/>
      </c>
      <c r="M352" s="230" t="str">
        <f ca="1">IF( ISNA( VLOOKUP( APIF_Import!$O352 &amp; APIF_Import!$M$1,Podesavanja!$AA$3:$AD$28, 4, 0)), "", VLOOKUP( APIF_Import!$C352, INDIRECT( "Lookup_" &amp; APIF_Import!$M352:$O352), VLOOKUP( APIF_Import!$O352 &amp; APIF_Import!$M$1,Podesavanja!$AA$3:$AD$28, 4, 0), 0))</f>
        <v/>
      </c>
      <c r="N352" s="8">
        <v>353</v>
      </c>
      <c r="O352" s="8" t="s">
        <v>1538</v>
      </c>
    </row>
    <row r="353" spans="2:15">
      <c r="B353" s="44">
        <f ca="1">VLOOKUP( APIF_Import!$O353, Podesavanja!$N$3:$Q$9, 4, 0)</f>
        <v>4</v>
      </c>
      <c r="C353" s="229">
        <f ca="1">VLOOKUP( APIF_Import!$N353, Aop!$A$2:$P$456, 4, 0)</f>
        <v>603</v>
      </c>
      <c r="D353" s="230" t="str">
        <f ca="1">IF( ISNA( VLOOKUP( APIF_Import!$O353 &amp; APIF_Import!$D$1,Podesavanja!$AA$3:$AD$28, 4, 0)), "", SUBSTITUTE( VALUE( VLOOKUP( APIF_Import!$C353, INDIRECT( "Lookup_" &amp; APIF_Import!$O353), VLOOKUP( APIF_Import!$O353 &amp; APIF_Import!$D$1,Podesavanja!$AA$3:$AD$28, 4, 0), 0)), ".", ","))</f>
        <v>25752</v>
      </c>
      <c r="E353" s="230">
        <f ca="1">IF( ISNA( VLOOKUP( APIF_Import!$O353 &amp; APIF_Import!$E$1,Podesavanja!$AA$3:$AD$28, 4, 0)), "", VLOOKUP( APIF_Import!$C353, INDIRECT( "Lookup_" &amp; APIF_Import!$O353), VLOOKUP( APIF_Import!$O353 &amp; APIF_Import!$E$1,Podesavanja!$AA$3:$AD$28, 4, 0), 0))</f>
        <v>0</v>
      </c>
      <c r="F353" s="230" t="str">
        <f ca="1">IF( ISNA( VLOOKUP( APIF_Import!$O353 &amp; APIF_Import!$F$1,Podesavanja!$AA$3:$AD$28, 4, 0)), "", VLOOKUP( APIF_Import!$C353, INDIRECT( "Lookup_" &amp; APIF_Import!$O353), VLOOKUP( APIF_Import!$O353 &amp; APIF_Import!$F$1,Podesavanja!$AA$3:$AD$28, 4, 0), 0))</f>
        <v/>
      </c>
      <c r="G353" s="230" t="str">
        <f ca="1">IF( ISNA( VLOOKUP( APIF_Import!$O353 &amp; APIF_Import!$G$1,Podesavanja!$AA$3:$AD$28, 4, 0)), "", VLOOKUP( APIF_Import!$C353, INDIRECT( "Lookup_" &amp; APIF_Import!$O353), VLOOKUP( APIF_Import!$O353 &amp; APIF_Import!$G$1,Podesavanja!$AA$3:$AD$28, 4, 0), 0))</f>
        <v/>
      </c>
      <c r="H353" s="230" t="str">
        <f ca="1">IF( ISNA( VLOOKUP( APIF_Import!$O353 &amp; APIF_Import!$H$1,Podesavanja!$AA$3:$AD$28, 4, 0)), "", VLOOKUP( APIF_Import!$C353, INDIRECT( "Lookup_" &amp; APIF_Import!$O353), VLOOKUP( APIF_Import!$O353 &amp; APIF_Import!$H$1,Podesavanja!$AA$3:$AD$28, 4, 0), 0))</f>
        <v/>
      </c>
      <c r="I353" s="230" t="str">
        <f ca="1">IF( ISNA( VLOOKUP( APIF_Import!$O353 &amp; APIF_Import!$I$1,Podesavanja!$AA$3:$AD$28, 4, 0)), "", VLOOKUP( APIF_Import!$C353, INDIRECT( "Lookup_" &amp; APIF_Import!$M353:$O353), VLOOKUP( APIF_Import!$O353 &amp; APIF_Import!$I$1,Podesavanja!$AA$3:$AD$28, 4, 0), 0))</f>
        <v/>
      </c>
      <c r="J353" s="230" t="str">
        <f ca="1">IF( ISNA( VLOOKUP( APIF_Import!$O353 &amp; APIF_Import!$J$1,Podesavanja!$AA$3:$AD$28, 4, 0)), "", VLOOKUP( APIF_Import!$C353, INDIRECT( "Lookup_" &amp; APIF_Import!$M353:$O353), VLOOKUP( APIF_Import!$O353 &amp; APIF_Import!$J$1,Podesavanja!$AA$3:$AD$28, 4, 0), 0))</f>
        <v/>
      </c>
      <c r="K353" s="230" t="str">
        <f ca="1">IF( ISNA( VLOOKUP( APIF_Import!$O353 &amp; APIF_Import!$K$1,Podesavanja!$AA$3:$AD$28, 4, 0)), "", VLOOKUP( APIF_Import!$C353, INDIRECT( "Lookup_" &amp; APIF_Import!$M353:$O353), VLOOKUP( APIF_Import!$O353 &amp; APIF_Import!$K$1,Podesavanja!$AA$3:$AD$28, 4, 0), 0))</f>
        <v/>
      </c>
      <c r="L353" s="230" t="str">
        <f ca="1">IF( ISNA( VLOOKUP( APIF_Import!$O353 &amp; APIF_Import!$L$1,Podesavanja!$AA$3:$AD$28, 4, 0)), "", VLOOKUP( APIF_Import!$C353, INDIRECT( "Lookup_" &amp; APIF_Import!$M353:$O353), VLOOKUP( APIF_Import!$O353 &amp; APIF_Import!$L$1,Podesavanja!$AA$3:$AD$28, 4, 0), 0))</f>
        <v/>
      </c>
      <c r="M353" s="230" t="str">
        <f ca="1">IF( ISNA( VLOOKUP( APIF_Import!$O353 &amp; APIF_Import!$M$1,Podesavanja!$AA$3:$AD$28, 4, 0)), "", VLOOKUP( APIF_Import!$C353, INDIRECT( "Lookup_" &amp; APIF_Import!$M353:$O353), VLOOKUP( APIF_Import!$O353 &amp; APIF_Import!$M$1,Podesavanja!$AA$3:$AD$28, 4, 0), 0))</f>
        <v/>
      </c>
      <c r="N353" s="8">
        <v>354</v>
      </c>
      <c r="O353" s="8" t="s">
        <v>1538</v>
      </c>
    </row>
    <row r="354" spans="2:15">
      <c r="B354" s="44">
        <f ca="1">VLOOKUP( APIF_Import!$O354, Podesavanja!$N$3:$Q$9, 4, 0)</f>
        <v>4</v>
      </c>
      <c r="C354" s="229">
        <f ca="1">VLOOKUP( APIF_Import!$N354, Aop!$A$2:$P$456, 4, 0)</f>
        <v>604</v>
      </c>
      <c r="D354" s="230" t="str">
        <f ca="1">IF( ISNA( VLOOKUP( APIF_Import!$O354 &amp; APIF_Import!$D$1,Podesavanja!$AA$3:$AD$28, 4, 0)), "", SUBSTITUTE( VALUE( VLOOKUP( APIF_Import!$C354, INDIRECT( "Lookup_" &amp; APIF_Import!$O354), VLOOKUP( APIF_Import!$O354 &amp; APIF_Import!$D$1,Podesavanja!$AA$3:$AD$28, 4, 0), 0)), ".", ","))</f>
        <v>0</v>
      </c>
      <c r="E354" s="230">
        <f ca="1">IF( ISNA( VLOOKUP( APIF_Import!$O354 &amp; APIF_Import!$E$1,Podesavanja!$AA$3:$AD$28, 4, 0)), "", VLOOKUP( APIF_Import!$C354, INDIRECT( "Lookup_" &amp; APIF_Import!$O354), VLOOKUP( APIF_Import!$O354 &amp; APIF_Import!$E$1,Podesavanja!$AA$3:$AD$28, 4, 0), 0))</f>
        <v>0</v>
      </c>
      <c r="F354" s="230" t="str">
        <f ca="1">IF( ISNA( VLOOKUP( APIF_Import!$O354 &amp; APIF_Import!$F$1,Podesavanja!$AA$3:$AD$28, 4, 0)), "", VLOOKUP( APIF_Import!$C354, INDIRECT( "Lookup_" &amp; APIF_Import!$O354), VLOOKUP( APIF_Import!$O354 &amp; APIF_Import!$F$1,Podesavanja!$AA$3:$AD$28, 4, 0), 0))</f>
        <v/>
      </c>
      <c r="G354" s="230" t="str">
        <f ca="1">IF( ISNA( VLOOKUP( APIF_Import!$O354 &amp; APIF_Import!$G$1,Podesavanja!$AA$3:$AD$28, 4, 0)), "", VLOOKUP( APIF_Import!$C354, INDIRECT( "Lookup_" &amp; APIF_Import!$O354), VLOOKUP( APIF_Import!$O354 &amp; APIF_Import!$G$1,Podesavanja!$AA$3:$AD$28, 4, 0), 0))</f>
        <v/>
      </c>
      <c r="H354" s="230" t="str">
        <f ca="1">IF( ISNA( VLOOKUP( APIF_Import!$O354 &amp; APIF_Import!$H$1,Podesavanja!$AA$3:$AD$28, 4, 0)), "", VLOOKUP( APIF_Import!$C354, INDIRECT( "Lookup_" &amp; APIF_Import!$O354), VLOOKUP( APIF_Import!$O354 &amp; APIF_Import!$H$1,Podesavanja!$AA$3:$AD$28, 4, 0), 0))</f>
        <v/>
      </c>
      <c r="I354" s="230" t="str">
        <f ca="1">IF( ISNA( VLOOKUP( APIF_Import!$O354 &amp; APIF_Import!$I$1,Podesavanja!$AA$3:$AD$28, 4, 0)), "", VLOOKUP( APIF_Import!$C354, INDIRECT( "Lookup_" &amp; APIF_Import!$M354:$O354), VLOOKUP( APIF_Import!$O354 &amp; APIF_Import!$I$1,Podesavanja!$AA$3:$AD$28, 4, 0), 0))</f>
        <v/>
      </c>
      <c r="J354" s="230" t="str">
        <f ca="1">IF( ISNA( VLOOKUP( APIF_Import!$O354 &amp; APIF_Import!$J$1,Podesavanja!$AA$3:$AD$28, 4, 0)), "", VLOOKUP( APIF_Import!$C354, INDIRECT( "Lookup_" &amp; APIF_Import!$M354:$O354), VLOOKUP( APIF_Import!$O354 &amp; APIF_Import!$J$1,Podesavanja!$AA$3:$AD$28, 4, 0), 0))</f>
        <v/>
      </c>
      <c r="K354" s="230" t="str">
        <f ca="1">IF( ISNA( VLOOKUP( APIF_Import!$O354 &amp; APIF_Import!$K$1,Podesavanja!$AA$3:$AD$28, 4, 0)), "", VLOOKUP( APIF_Import!$C354, INDIRECT( "Lookup_" &amp; APIF_Import!$M354:$O354), VLOOKUP( APIF_Import!$O354 &amp; APIF_Import!$K$1,Podesavanja!$AA$3:$AD$28, 4, 0), 0))</f>
        <v/>
      </c>
      <c r="L354" s="230" t="str">
        <f ca="1">IF( ISNA( VLOOKUP( APIF_Import!$O354 &amp; APIF_Import!$L$1,Podesavanja!$AA$3:$AD$28, 4, 0)), "", VLOOKUP( APIF_Import!$C354, INDIRECT( "Lookup_" &amp; APIF_Import!$M354:$O354), VLOOKUP( APIF_Import!$O354 &amp; APIF_Import!$L$1,Podesavanja!$AA$3:$AD$28, 4, 0), 0))</f>
        <v/>
      </c>
      <c r="M354" s="230" t="str">
        <f ca="1">IF( ISNA( VLOOKUP( APIF_Import!$O354 &amp; APIF_Import!$M$1,Podesavanja!$AA$3:$AD$28, 4, 0)), "", VLOOKUP( APIF_Import!$C354, INDIRECT( "Lookup_" &amp; APIF_Import!$M354:$O354), VLOOKUP( APIF_Import!$O354 &amp; APIF_Import!$M$1,Podesavanja!$AA$3:$AD$28, 4, 0), 0))</f>
        <v/>
      </c>
      <c r="N354" s="8">
        <v>355</v>
      </c>
      <c r="O354" s="8" t="s">
        <v>1538</v>
      </c>
    </row>
    <row r="355" spans="2:15">
      <c r="B355" s="44">
        <f ca="1">VLOOKUP( APIF_Import!$O355, Podesavanja!$N$3:$Q$9, 4, 0)</f>
        <v>4</v>
      </c>
      <c r="C355" s="229">
        <f ca="1">VLOOKUP( APIF_Import!$N355, Aop!$A$2:$P$456, 4, 0)</f>
        <v>605</v>
      </c>
      <c r="D355" s="230" t="str">
        <f ca="1">IF( ISNA( VLOOKUP( APIF_Import!$O355 &amp; APIF_Import!$D$1,Podesavanja!$AA$3:$AD$28, 4, 0)), "", SUBSTITUTE( VALUE( VLOOKUP( APIF_Import!$C355, INDIRECT( "Lookup_" &amp; APIF_Import!$O355), VLOOKUP( APIF_Import!$O355 &amp; APIF_Import!$D$1,Podesavanja!$AA$3:$AD$28, 4, 0), 0)), ".", ","))</f>
        <v>775979</v>
      </c>
      <c r="E355" s="230">
        <f ca="1">IF( ISNA( VLOOKUP( APIF_Import!$O355 &amp; APIF_Import!$E$1,Podesavanja!$AA$3:$AD$28, 4, 0)), "", VLOOKUP( APIF_Import!$C355, INDIRECT( "Lookup_" &amp; APIF_Import!$O355), VLOOKUP( APIF_Import!$O355 &amp; APIF_Import!$E$1,Podesavanja!$AA$3:$AD$28, 4, 0), 0))</f>
        <v>111684</v>
      </c>
      <c r="F355" s="230" t="str">
        <f ca="1">IF( ISNA( VLOOKUP( APIF_Import!$O355 &amp; APIF_Import!$F$1,Podesavanja!$AA$3:$AD$28, 4, 0)), "", VLOOKUP( APIF_Import!$C355, INDIRECT( "Lookup_" &amp; APIF_Import!$O355), VLOOKUP( APIF_Import!$O355 &amp; APIF_Import!$F$1,Podesavanja!$AA$3:$AD$28, 4, 0), 0))</f>
        <v/>
      </c>
      <c r="G355" s="230" t="str">
        <f ca="1">IF( ISNA( VLOOKUP( APIF_Import!$O355 &amp; APIF_Import!$G$1,Podesavanja!$AA$3:$AD$28, 4, 0)), "", VLOOKUP( APIF_Import!$C355, INDIRECT( "Lookup_" &amp; APIF_Import!$O355), VLOOKUP( APIF_Import!$O355 &amp; APIF_Import!$G$1,Podesavanja!$AA$3:$AD$28, 4, 0), 0))</f>
        <v/>
      </c>
      <c r="H355" s="230" t="str">
        <f ca="1">IF( ISNA( VLOOKUP( APIF_Import!$O355 &amp; APIF_Import!$H$1,Podesavanja!$AA$3:$AD$28, 4, 0)), "", VLOOKUP( APIF_Import!$C355, INDIRECT( "Lookup_" &amp; APIF_Import!$O355), VLOOKUP( APIF_Import!$O355 &amp; APIF_Import!$H$1,Podesavanja!$AA$3:$AD$28, 4, 0), 0))</f>
        <v/>
      </c>
      <c r="I355" s="230" t="str">
        <f ca="1">IF( ISNA( VLOOKUP( APIF_Import!$O355 &amp; APIF_Import!$I$1,Podesavanja!$AA$3:$AD$28, 4, 0)), "", VLOOKUP( APIF_Import!$C355, INDIRECT( "Lookup_" &amp; APIF_Import!$M355:$O355), VLOOKUP( APIF_Import!$O355 &amp; APIF_Import!$I$1,Podesavanja!$AA$3:$AD$28, 4, 0), 0))</f>
        <v/>
      </c>
      <c r="J355" s="230" t="str">
        <f ca="1">IF( ISNA( VLOOKUP( APIF_Import!$O355 &amp; APIF_Import!$J$1,Podesavanja!$AA$3:$AD$28, 4, 0)), "", VLOOKUP( APIF_Import!$C355, INDIRECT( "Lookup_" &amp; APIF_Import!$M355:$O355), VLOOKUP( APIF_Import!$O355 &amp; APIF_Import!$J$1,Podesavanja!$AA$3:$AD$28, 4, 0), 0))</f>
        <v/>
      </c>
      <c r="K355" s="230" t="str">
        <f ca="1">IF( ISNA( VLOOKUP( APIF_Import!$O355 &amp; APIF_Import!$K$1,Podesavanja!$AA$3:$AD$28, 4, 0)), "", VLOOKUP( APIF_Import!$C355, INDIRECT( "Lookup_" &amp; APIF_Import!$M355:$O355), VLOOKUP( APIF_Import!$O355 &amp; APIF_Import!$K$1,Podesavanja!$AA$3:$AD$28, 4, 0), 0))</f>
        <v/>
      </c>
      <c r="L355" s="230" t="str">
        <f ca="1">IF( ISNA( VLOOKUP( APIF_Import!$O355 &amp; APIF_Import!$L$1,Podesavanja!$AA$3:$AD$28, 4, 0)), "", VLOOKUP( APIF_Import!$C355, INDIRECT( "Lookup_" &amp; APIF_Import!$M355:$O355), VLOOKUP( APIF_Import!$O355 &amp; APIF_Import!$L$1,Podesavanja!$AA$3:$AD$28, 4, 0), 0))</f>
        <v/>
      </c>
      <c r="M355" s="230" t="str">
        <f ca="1">IF( ISNA( VLOOKUP( APIF_Import!$O355 &amp; APIF_Import!$M$1,Podesavanja!$AA$3:$AD$28, 4, 0)), "", VLOOKUP( APIF_Import!$C355, INDIRECT( "Lookup_" &amp; APIF_Import!$M355:$O355), VLOOKUP( APIF_Import!$O355 &amp; APIF_Import!$M$1,Podesavanja!$AA$3:$AD$28, 4, 0), 0))</f>
        <v/>
      </c>
      <c r="N355" s="8">
        <v>356</v>
      </c>
      <c r="O355" s="8" t="s">
        <v>1538</v>
      </c>
    </row>
    <row r="356" spans="2:15">
      <c r="B356" s="44">
        <f ca="1">VLOOKUP( APIF_Import!$O356, Podesavanja!$N$3:$Q$9, 4, 0)</f>
        <v>4</v>
      </c>
      <c r="C356" s="229">
        <f ca="1">VLOOKUP( APIF_Import!$N356, Aop!$A$2:$P$456, 4, 0)</f>
        <v>606</v>
      </c>
      <c r="D356" s="230" t="str">
        <f ca="1">IF( ISNA( VLOOKUP( APIF_Import!$O356 &amp; APIF_Import!$D$1,Podesavanja!$AA$3:$AD$28, 4, 0)), "", SUBSTITUTE( VALUE( VLOOKUP( APIF_Import!$C356, INDIRECT( "Lookup_" &amp; APIF_Import!$O356), VLOOKUP( APIF_Import!$O356 &amp; APIF_Import!$D$1,Podesavanja!$AA$3:$AD$28, 4, 0), 0)), ".", ","))</f>
        <v>782307</v>
      </c>
      <c r="E356" s="230">
        <f ca="1">IF( ISNA( VLOOKUP( APIF_Import!$O356 &amp; APIF_Import!$E$1,Podesavanja!$AA$3:$AD$28, 4, 0)), "", VLOOKUP( APIF_Import!$C356, INDIRECT( "Lookup_" &amp; APIF_Import!$O356), VLOOKUP( APIF_Import!$O356 &amp; APIF_Import!$E$1,Podesavanja!$AA$3:$AD$28, 4, 0), 0))</f>
        <v>0</v>
      </c>
      <c r="F356" s="230" t="str">
        <f ca="1">IF( ISNA( VLOOKUP( APIF_Import!$O356 &amp; APIF_Import!$F$1,Podesavanja!$AA$3:$AD$28, 4, 0)), "", VLOOKUP( APIF_Import!$C356, INDIRECT( "Lookup_" &amp; APIF_Import!$O356), VLOOKUP( APIF_Import!$O356 &amp; APIF_Import!$F$1,Podesavanja!$AA$3:$AD$28, 4, 0), 0))</f>
        <v/>
      </c>
      <c r="G356" s="230" t="str">
        <f ca="1">IF( ISNA( VLOOKUP( APIF_Import!$O356 &amp; APIF_Import!$G$1,Podesavanja!$AA$3:$AD$28, 4, 0)), "", VLOOKUP( APIF_Import!$C356, INDIRECT( "Lookup_" &amp; APIF_Import!$O356), VLOOKUP( APIF_Import!$O356 &amp; APIF_Import!$G$1,Podesavanja!$AA$3:$AD$28, 4, 0), 0))</f>
        <v/>
      </c>
      <c r="H356" s="230" t="str">
        <f ca="1">IF( ISNA( VLOOKUP( APIF_Import!$O356 &amp; APIF_Import!$H$1,Podesavanja!$AA$3:$AD$28, 4, 0)), "", VLOOKUP( APIF_Import!$C356, INDIRECT( "Lookup_" &amp; APIF_Import!$O356), VLOOKUP( APIF_Import!$O356 &amp; APIF_Import!$H$1,Podesavanja!$AA$3:$AD$28, 4, 0), 0))</f>
        <v/>
      </c>
      <c r="I356" s="230" t="str">
        <f ca="1">IF( ISNA( VLOOKUP( APIF_Import!$O356 &amp; APIF_Import!$I$1,Podesavanja!$AA$3:$AD$28, 4, 0)), "", VLOOKUP( APIF_Import!$C356, INDIRECT( "Lookup_" &amp; APIF_Import!$M356:$O356), VLOOKUP( APIF_Import!$O356 &amp; APIF_Import!$I$1,Podesavanja!$AA$3:$AD$28, 4, 0), 0))</f>
        <v/>
      </c>
      <c r="J356" s="230" t="str">
        <f ca="1">IF( ISNA( VLOOKUP( APIF_Import!$O356 &amp; APIF_Import!$J$1,Podesavanja!$AA$3:$AD$28, 4, 0)), "", VLOOKUP( APIF_Import!$C356, INDIRECT( "Lookup_" &amp; APIF_Import!$M356:$O356), VLOOKUP( APIF_Import!$O356 &amp; APIF_Import!$J$1,Podesavanja!$AA$3:$AD$28, 4, 0), 0))</f>
        <v/>
      </c>
      <c r="K356" s="230" t="str">
        <f ca="1">IF( ISNA( VLOOKUP( APIF_Import!$O356 &amp; APIF_Import!$K$1,Podesavanja!$AA$3:$AD$28, 4, 0)), "", VLOOKUP( APIF_Import!$C356, INDIRECT( "Lookup_" &amp; APIF_Import!$M356:$O356), VLOOKUP( APIF_Import!$O356 &amp; APIF_Import!$K$1,Podesavanja!$AA$3:$AD$28, 4, 0), 0))</f>
        <v/>
      </c>
      <c r="L356" s="230" t="str">
        <f ca="1">IF( ISNA( VLOOKUP( APIF_Import!$O356 &amp; APIF_Import!$L$1,Podesavanja!$AA$3:$AD$28, 4, 0)), "", VLOOKUP( APIF_Import!$C356, INDIRECT( "Lookup_" &amp; APIF_Import!$M356:$O356), VLOOKUP( APIF_Import!$O356 &amp; APIF_Import!$L$1,Podesavanja!$AA$3:$AD$28, 4, 0), 0))</f>
        <v/>
      </c>
      <c r="M356" s="230" t="str">
        <f ca="1">IF( ISNA( VLOOKUP( APIF_Import!$O356 &amp; APIF_Import!$M$1,Podesavanja!$AA$3:$AD$28, 4, 0)), "", VLOOKUP( APIF_Import!$C356, INDIRECT( "Lookup_" &amp; APIF_Import!$M356:$O356), VLOOKUP( APIF_Import!$O356 &amp; APIF_Import!$M$1,Podesavanja!$AA$3:$AD$28, 4, 0), 0))</f>
        <v/>
      </c>
      <c r="N356" s="8">
        <v>357</v>
      </c>
      <c r="O356" s="8" t="s">
        <v>1538</v>
      </c>
    </row>
    <row r="357" spans="2:15">
      <c r="B357" s="44">
        <f ca="1">VLOOKUP( APIF_Import!$O357, Podesavanja!$N$3:$Q$9, 4, 0)</f>
        <v>4</v>
      </c>
      <c r="C357" s="229">
        <f ca="1">VLOOKUP( APIF_Import!$N357, Aop!$A$2:$P$456, 4, 0)</f>
        <v>607</v>
      </c>
      <c r="D357" s="230" t="str">
        <f ca="1">IF( ISNA( VLOOKUP( APIF_Import!$O357 &amp; APIF_Import!$D$1,Podesavanja!$AA$3:$AD$28, 4, 0)), "", SUBSTITUTE( VALUE( VLOOKUP( APIF_Import!$C357, INDIRECT( "Lookup_" &amp; APIF_Import!$O357), VLOOKUP( APIF_Import!$O357 &amp; APIF_Import!$D$1,Podesavanja!$AA$3:$AD$28, 4, 0), 0)), ".", ","))</f>
        <v>0</v>
      </c>
      <c r="E357" s="230">
        <f ca="1">IF( ISNA( VLOOKUP( APIF_Import!$O357 &amp; APIF_Import!$E$1,Podesavanja!$AA$3:$AD$28, 4, 0)), "", VLOOKUP( APIF_Import!$C357, INDIRECT( "Lookup_" &amp; APIF_Import!$O357), VLOOKUP( APIF_Import!$O357 &amp; APIF_Import!$E$1,Podesavanja!$AA$3:$AD$28, 4, 0), 0))</f>
        <v>0</v>
      </c>
      <c r="F357" s="230" t="str">
        <f ca="1">IF( ISNA( VLOOKUP( APIF_Import!$O357 &amp; APIF_Import!$F$1,Podesavanja!$AA$3:$AD$28, 4, 0)), "", VLOOKUP( APIF_Import!$C357, INDIRECT( "Lookup_" &amp; APIF_Import!$O357), VLOOKUP( APIF_Import!$O357 &amp; APIF_Import!$F$1,Podesavanja!$AA$3:$AD$28, 4, 0), 0))</f>
        <v/>
      </c>
      <c r="G357" s="230" t="str">
        <f ca="1">IF( ISNA( VLOOKUP( APIF_Import!$O357 &amp; APIF_Import!$G$1,Podesavanja!$AA$3:$AD$28, 4, 0)), "", VLOOKUP( APIF_Import!$C357, INDIRECT( "Lookup_" &amp; APIF_Import!$O357), VLOOKUP( APIF_Import!$O357 &amp; APIF_Import!$G$1,Podesavanja!$AA$3:$AD$28, 4, 0), 0))</f>
        <v/>
      </c>
      <c r="H357" s="230" t="str">
        <f ca="1">IF( ISNA( VLOOKUP( APIF_Import!$O357 &amp; APIF_Import!$H$1,Podesavanja!$AA$3:$AD$28, 4, 0)), "", VLOOKUP( APIF_Import!$C357, INDIRECT( "Lookup_" &amp; APIF_Import!$O357), VLOOKUP( APIF_Import!$O357 &amp; APIF_Import!$H$1,Podesavanja!$AA$3:$AD$28, 4, 0), 0))</f>
        <v/>
      </c>
      <c r="I357" s="230" t="str">
        <f ca="1">IF( ISNA( VLOOKUP( APIF_Import!$O357 &amp; APIF_Import!$I$1,Podesavanja!$AA$3:$AD$28, 4, 0)), "", VLOOKUP( APIF_Import!$C357, INDIRECT( "Lookup_" &amp; APIF_Import!$M357:$O357), VLOOKUP( APIF_Import!$O357 &amp; APIF_Import!$I$1,Podesavanja!$AA$3:$AD$28, 4, 0), 0))</f>
        <v/>
      </c>
      <c r="J357" s="230" t="str">
        <f ca="1">IF( ISNA( VLOOKUP( APIF_Import!$O357 &amp; APIF_Import!$J$1,Podesavanja!$AA$3:$AD$28, 4, 0)), "", VLOOKUP( APIF_Import!$C357, INDIRECT( "Lookup_" &amp; APIF_Import!$M357:$O357), VLOOKUP( APIF_Import!$O357 &amp; APIF_Import!$J$1,Podesavanja!$AA$3:$AD$28, 4, 0), 0))</f>
        <v/>
      </c>
      <c r="K357" s="230" t="str">
        <f ca="1">IF( ISNA( VLOOKUP( APIF_Import!$O357 &amp; APIF_Import!$K$1,Podesavanja!$AA$3:$AD$28, 4, 0)), "", VLOOKUP( APIF_Import!$C357, INDIRECT( "Lookup_" &amp; APIF_Import!$M357:$O357), VLOOKUP( APIF_Import!$O357 &amp; APIF_Import!$K$1,Podesavanja!$AA$3:$AD$28, 4, 0), 0))</f>
        <v/>
      </c>
      <c r="L357" s="230" t="str">
        <f ca="1">IF( ISNA( VLOOKUP( APIF_Import!$O357 &amp; APIF_Import!$L$1,Podesavanja!$AA$3:$AD$28, 4, 0)), "", VLOOKUP( APIF_Import!$C357, INDIRECT( "Lookup_" &amp; APIF_Import!$M357:$O357), VLOOKUP( APIF_Import!$O357 &amp; APIF_Import!$L$1,Podesavanja!$AA$3:$AD$28, 4, 0), 0))</f>
        <v/>
      </c>
      <c r="M357" s="230" t="str">
        <f ca="1">IF( ISNA( VLOOKUP( APIF_Import!$O357 &amp; APIF_Import!$M$1,Podesavanja!$AA$3:$AD$28, 4, 0)), "", VLOOKUP( APIF_Import!$C357, INDIRECT( "Lookup_" &amp; APIF_Import!$M357:$O357), VLOOKUP( APIF_Import!$O357 &amp; APIF_Import!$M$1,Podesavanja!$AA$3:$AD$28, 4, 0), 0))</f>
        <v/>
      </c>
      <c r="N357" s="8">
        <v>358</v>
      </c>
      <c r="O357" s="8" t="s">
        <v>1538</v>
      </c>
    </row>
    <row r="358" spans="2:15">
      <c r="B358" s="44">
        <f ca="1">VLOOKUP( APIF_Import!$O358, Podesavanja!$N$3:$Q$9, 4, 0)</f>
        <v>4</v>
      </c>
      <c r="C358" s="229">
        <f ca="1">VLOOKUP( APIF_Import!$N358, Aop!$A$2:$P$456, 4, 0)</f>
        <v>608</v>
      </c>
      <c r="D358" s="230" t="str">
        <f ca="1">IF( ISNA( VLOOKUP( APIF_Import!$O358 &amp; APIF_Import!$D$1,Podesavanja!$AA$3:$AD$28, 4, 0)), "", SUBSTITUTE( VALUE( VLOOKUP( APIF_Import!$C358, INDIRECT( "Lookup_" &amp; APIF_Import!$O358), VLOOKUP( APIF_Import!$O358 &amp; APIF_Import!$D$1,Podesavanja!$AA$3:$AD$28, 4, 0), 0)), ".", ","))</f>
        <v>619385</v>
      </c>
      <c r="E358" s="230">
        <f ca="1">IF( ISNA( VLOOKUP( APIF_Import!$O358 &amp; APIF_Import!$E$1,Podesavanja!$AA$3:$AD$28, 4, 0)), "", VLOOKUP( APIF_Import!$C358, INDIRECT( "Lookup_" &amp; APIF_Import!$O358), VLOOKUP( APIF_Import!$O358 &amp; APIF_Import!$E$1,Podesavanja!$AA$3:$AD$28, 4, 0), 0))</f>
        <v>0</v>
      </c>
      <c r="F358" s="230" t="str">
        <f ca="1">IF( ISNA( VLOOKUP( APIF_Import!$O358 &amp; APIF_Import!$F$1,Podesavanja!$AA$3:$AD$28, 4, 0)), "", VLOOKUP( APIF_Import!$C358, INDIRECT( "Lookup_" &amp; APIF_Import!$O358), VLOOKUP( APIF_Import!$O358 &amp; APIF_Import!$F$1,Podesavanja!$AA$3:$AD$28, 4, 0), 0))</f>
        <v/>
      </c>
      <c r="G358" s="230" t="str">
        <f ca="1">IF( ISNA( VLOOKUP( APIF_Import!$O358 &amp; APIF_Import!$G$1,Podesavanja!$AA$3:$AD$28, 4, 0)), "", VLOOKUP( APIF_Import!$C358, INDIRECT( "Lookup_" &amp; APIF_Import!$O358), VLOOKUP( APIF_Import!$O358 &amp; APIF_Import!$G$1,Podesavanja!$AA$3:$AD$28, 4, 0), 0))</f>
        <v/>
      </c>
      <c r="H358" s="230" t="str">
        <f ca="1">IF( ISNA( VLOOKUP( APIF_Import!$O358 &amp; APIF_Import!$H$1,Podesavanja!$AA$3:$AD$28, 4, 0)), "", VLOOKUP( APIF_Import!$C358, INDIRECT( "Lookup_" &amp; APIF_Import!$O358), VLOOKUP( APIF_Import!$O358 &amp; APIF_Import!$H$1,Podesavanja!$AA$3:$AD$28, 4, 0), 0))</f>
        <v/>
      </c>
      <c r="I358" s="230" t="str">
        <f ca="1">IF( ISNA( VLOOKUP( APIF_Import!$O358 &amp; APIF_Import!$I$1,Podesavanja!$AA$3:$AD$28, 4, 0)), "", VLOOKUP( APIF_Import!$C358, INDIRECT( "Lookup_" &amp; APIF_Import!$M358:$O358), VLOOKUP( APIF_Import!$O358 &amp; APIF_Import!$I$1,Podesavanja!$AA$3:$AD$28, 4, 0), 0))</f>
        <v/>
      </c>
      <c r="J358" s="230" t="str">
        <f ca="1">IF( ISNA( VLOOKUP( APIF_Import!$O358 &amp; APIF_Import!$J$1,Podesavanja!$AA$3:$AD$28, 4, 0)), "", VLOOKUP( APIF_Import!$C358, INDIRECT( "Lookup_" &amp; APIF_Import!$M358:$O358), VLOOKUP( APIF_Import!$O358 &amp; APIF_Import!$J$1,Podesavanja!$AA$3:$AD$28, 4, 0), 0))</f>
        <v/>
      </c>
      <c r="K358" s="230" t="str">
        <f ca="1">IF( ISNA( VLOOKUP( APIF_Import!$O358 &amp; APIF_Import!$K$1,Podesavanja!$AA$3:$AD$28, 4, 0)), "", VLOOKUP( APIF_Import!$C358, INDIRECT( "Lookup_" &amp; APIF_Import!$M358:$O358), VLOOKUP( APIF_Import!$O358 &amp; APIF_Import!$K$1,Podesavanja!$AA$3:$AD$28, 4, 0), 0))</f>
        <v/>
      </c>
      <c r="L358" s="230" t="str">
        <f ca="1">IF( ISNA( VLOOKUP( APIF_Import!$O358 &amp; APIF_Import!$L$1,Podesavanja!$AA$3:$AD$28, 4, 0)), "", VLOOKUP( APIF_Import!$C358, INDIRECT( "Lookup_" &amp; APIF_Import!$M358:$O358), VLOOKUP( APIF_Import!$O358 &amp; APIF_Import!$L$1,Podesavanja!$AA$3:$AD$28, 4, 0), 0))</f>
        <v/>
      </c>
      <c r="M358" s="230" t="str">
        <f ca="1">IF( ISNA( VLOOKUP( APIF_Import!$O358 &amp; APIF_Import!$M$1,Podesavanja!$AA$3:$AD$28, 4, 0)), "", VLOOKUP( APIF_Import!$C358, INDIRECT( "Lookup_" &amp; APIF_Import!$M358:$O358), VLOOKUP( APIF_Import!$O358 &amp; APIF_Import!$M$1,Podesavanja!$AA$3:$AD$28, 4, 0), 0))</f>
        <v/>
      </c>
      <c r="N358" s="8">
        <v>359</v>
      </c>
      <c r="O358" s="8" t="s">
        <v>1538</v>
      </c>
    </row>
    <row r="359" spans="2:15">
      <c r="B359" s="44">
        <f ca="1">VLOOKUP( APIF_Import!$O359, Podesavanja!$N$3:$Q$9, 4, 0)</f>
        <v>4</v>
      </c>
      <c r="C359" s="229">
        <f ca="1">VLOOKUP( APIF_Import!$N359, Aop!$A$2:$P$456, 4, 0)</f>
        <v>609</v>
      </c>
      <c r="D359" s="230" t="str">
        <f ca="1">IF( ISNA( VLOOKUP( APIF_Import!$O359 &amp; APIF_Import!$D$1,Podesavanja!$AA$3:$AD$28, 4, 0)), "", SUBSTITUTE( VALUE( VLOOKUP( APIF_Import!$C359, INDIRECT( "Lookup_" &amp; APIF_Import!$O359), VLOOKUP( APIF_Import!$O359 &amp; APIF_Import!$D$1,Podesavanja!$AA$3:$AD$28, 4, 0), 0)), ".", ","))</f>
        <v>0</v>
      </c>
      <c r="E359" s="230">
        <f ca="1">IF( ISNA( VLOOKUP( APIF_Import!$O359 &amp; APIF_Import!$E$1,Podesavanja!$AA$3:$AD$28, 4, 0)), "", VLOOKUP( APIF_Import!$C359, INDIRECT( "Lookup_" &amp; APIF_Import!$O359), VLOOKUP( APIF_Import!$O359 &amp; APIF_Import!$E$1,Podesavanja!$AA$3:$AD$28, 4, 0), 0))</f>
        <v>0</v>
      </c>
      <c r="F359" s="230" t="str">
        <f ca="1">IF( ISNA( VLOOKUP( APIF_Import!$O359 &amp; APIF_Import!$F$1,Podesavanja!$AA$3:$AD$28, 4, 0)), "", VLOOKUP( APIF_Import!$C359, INDIRECT( "Lookup_" &amp; APIF_Import!$O359), VLOOKUP( APIF_Import!$O359 &amp; APIF_Import!$F$1,Podesavanja!$AA$3:$AD$28, 4, 0), 0))</f>
        <v/>
      </c>
      <c r="G359" s="230" t="str">
        <f ca="1">IF( ISNA( VLOOKUP( APIF_Import!$O359 &amp; APIF_Import!$G$1,Podesavanja!$AA$3:$AD$28, 4, 0)), "", VLOOKUP( APIF_Import!$C359, INDIRECT( "Lookup_" &amp; APIF_Import!$O359), VLOOKUP( APIF_Import!$O359 &amp; APIF_Import!$G$1,Podesavanja!$AA$3:$AD$28, 4, 0), 0))</f>
        <v/>
      </c>
      <c r="H359" s="230" t="str">
        <f ca="1">IF( ISNA( VLOOKUP( APIF_Import!$O359 &amp; APIF_Import!$H$1,Podesavanja!$AA$3:$AD$28, 4, 0)), "", VLOOKUP( APIF_Import!$C359, INDIRECT( "Lookup_" &amp; APIF_Import!$O359), VLOOKUP( APIF_Import!$O359 &amp; APIF_Import!$H$1,Podesavanja!$AA$3:$AD$28, 4, 0), 0))</f>
        <v/>
      </c>
      <c r="I359" s="230" t="str">
        <f ca="1">IF( ISNA( VLOOKUP( APIF_Import!$O359 &amp; APIF_Import!$I$1,Podesavanja!$AA$3:$AD$28, 4, 0)), "", VLOOKUP( APIF_Import!$C359, INDIRECT( "Lookup_" &amp; APIF_Import!$M359:$O359), VLOOKUP( APIF_Import!$O359 &amp; APIF_Import!$I$1,Podesavanja!$AA$3:$AD$28, 4, 0), 0))</f>
        <v/>
      </c>
      <c r="J359" s="230" t="str">
        <f ca="1">IF( ISNA( VLOOKUP( APIF_Import!$O359 &amp; APIF_Import!$J$1,Podesavanja!$AA$3:$AD$28, 4, 0)), "", VLOOKUP( APIF_Import!$C359, INDIRECT( "Lookup_" &amp; APIF_Import!$M359:$O359), VLOOKUP( APIF_Import!$O359 &amp; APIF_Import!$J$1,Podesavanja!$AA$3:$AD$28, 4, 0), 0))</f>
        <v/>
      </c>
      <c r="K359" s="230" t="str">
        <f ca="1">IF( ISNA( VLOOKUP( APIF_Import!$O359 &amp; APIF_Import!$K$1,Podesavanja!$AA$3:$AD$28, 4, 0)), "", VLOOKUP( APIF_Import!$C359, INDIRECT( "Lookup_" &amp; APIF_Import!$M359:$O359), VLOOKUP( APIF_Import!$O359 &amp; APIF_Import!$K$1,Podesavanja!$AA$3:$AD$28, 4, 0), 0))</f>
        <v/>
      </c>
      <c r="L359" s="230" t="str">
        <f ca="1">IF( ISNA( VLOOKUP( APIF_Import!$O359 &amp; APIF_Import!$L$1,Podesavanja!$AA$3:$AD$28, 4, 0)), "", VLOOKUP( APIF_Import!$C359, INDIRECT( "Lookup_" &amp; APIF_Import!$M359:$O359), VLOOKUP( APIF_Import!$O359 &amp; APIF_Import!$L$1,Podesavanja!$AA$3:$AD$28, 4, 0), 0))</f>
        <v/>
      </c>
      <c r="M359" s="230" t="str">
        <f ca="1">IF( ISNA( VLOOKUP( APIF_Import!$O359 &amp; APIF_Import!$M$1,Podesavanja!$AA$3:$AD$28, 4, 0)), "", VLOOKUP( APIF_Import!$C359, INDIRECT( "Lookup_" &amp; APIF_Import!$M359:$O359), VLOOKUP( APIF_Import!$O359 &amp; APIF_Import!$M$1,Podesavanja!$AA$3:$AD$28, 4, 0), 0))</f>
        <v/>
      </c>
      <c r="N359" s="8">
        <v>360</v>
      </c>
      <c r="O359" s="8" t="s">
        <v>1538</v>
      </c>
    </row>
    <row r="360" spans="2:15">
      <c r="B360" s="44">
        <f ca="1">VLOOKUP( APIF_Import!$O360, Podesavanja!$N$3:$Q$9, 4, 0)</f>
        <v>4</v>
      </c>
      <c r="C360" s="229">
        <f ca="1">VLOOKUP( APIF_Import!$N360, Aop!$A$2:$P$456, 4, 0)</f>
        <v>610</v>
      </c>
      <c r="D360" s="230" t="str">
        <f ca="1">IF( ISNA( VLOOKUP( APIF_Import!$O360 &amp; APIF_Import!$D$1,Podesavanja!$AA$3:$AD$28, 4, 0)), "", SUBSTITUTE( VALUE( VLOOKUP( APIF_Import!$C360, INDIRECT( "Lookup_" &amp; APIF_Import!$O360), VLOOKUP( APIF_Import!$O360 &amp; APIF_Import!$D$1,Podesavanja!$AA$3:$AD$28, 4, 0), 0)), ".", ","))</f>
        <v>0</v>
      </c>
      <c r="E360" s="230">
        <f ca="1">IF( ISNA( VLOOKUP( APIF_Import!$O360 &amp; APIF_Import!$E$1,Podesavanja!$AA$3:$AD$28, 4, 0)), "", VLOOKUP( APIF_Import!$C360, INDIRECT( "Lookup_" &amp; APIF_Import!$O360), VLOOKUP( APIF_Import!$O360 &amp; APIF_Import!$E$1,Podesavanja!$AA$3:$AD$28, 4, 0), 0))</f>
        <v>0</v>
      </c>
      <c r="F360" s="230" t="str">
        <f ca="1">IF( ISNA( VLOOKUP( APIF_Import!$O360 &amp; APIF_Import!$F$1,Podesavanja!$AA$3:$AD$28, 4, 0)), "", VLOOKUP( APIF_Import!$C360, INDIRECT( "Lookup_" &amp; APIF_Import!$O360), VLOOKUP( APIF_Import!$O360 &amp; APIF_Import!$F$1,Podesavanja!$AA$3:$AD$28, 4, 0), 0))</f>
        <v/>
      </c>
      <c r="G360" s="230" t="str">
        <f ca="1">IF( ISNA( VLOOKUP( APIF_Import!$O360 &amp; APIF_Import!$G$1,Podesavanja!$AA$3:$AD$28, 4, 0)), "", VLOOKUP( APIF_Import!$C360, INDIRECT( "Lookup_" &amp; APIF_Import!$O360), VLOOKUP( APIF_Import!$O360 &amp; APIF_Import!$G$1,Podesavanja!$AA$3:$AD$28, 4, 0), 0))</f>
        <v/>
      </c>
      <c r="H360" s="230" t="str">
        <f ca="1">IF( ISNA( VLOOKUP( APIF_Import!$O360 &amp; APIF_Import!$H$1,Podesavanja!$AA$3:$AD$28, 4, 0)), "", VLOOKUP( APIF_Import!$C360, INDIRECT( "Lookup_" &amp; APIF_Import!$O360), VLOOKUP( APIF_Import!$O360 &amp; APIF_Import!$H$1,Podesavanja!$AA$3:$AD$28, 4, 0), 0))</f>
        <v/>
      </c>
      <c r="I360" s="230" t="str">
        <f ca="1">IF( ISNA( VLOOKUP( APIF_Import!$O360 &amp; APIF_Import!$I$1,Podesavanja!$AA$3:$AD$28, 4, 0)), "", VLOOKUP( APIF_Import!$C360, INDIRECT( "Lookup_" &amp; APIF_Import!$M360:$O360), VLOOKUP( APIF_Import!$O360 &amp; APIF_Import!$I$1,Podesavanja!$AA$3:$AD$28, 4, 0), 0))</f>
        <v/>
      </c>
      <c r="J360" s="230" t="str">
        <f ca="1">IF( ISNA( VLOOKUP( APIF_Import!$O360 &amp; APIF_Import!$J$1,Podesavanja!$AA$3:$AD$28, 4, 0)), "", VLOOKUP( APIF_Import!$C360, INDIRECT( "Lookup_" &amp; APIF_Import!$M360:$O360), VLOOKUP( APIF_Import!$O360 &amp; APIF_Import!$J$1,Podesavanja!$AA$3:$AD$28, 4, 0), 0))</f>
        <v/>
      </c>
      <c r="K360" s="230" t="str">
        <f ca="1">IF( ISNA( VLOOKUP( APIF_Import!$O360 &amp; APIF_Import!$K$1,Podesavanja!$AA$3:$AD$28, 4, 0)), "", VLOOKUP( APIF_Import!$C360, INDIRECT( "Lookup_" &amp; APIF_Import!$M360:$O360), VLOOKUP( APIF_Import!$O360 &amp; APIF_Import!$K$1,Podesavanja!$AA$3:$AD$28, 4, 0), 0))</f>
        <v/>
      </c>
      <c r="L360" s="230" t="str">
        <f ca="1">IF( ISNA( VLOOKUP( APIF_Import!$O360 &amp; APIF_Import!$L$1,Podesavanja!$AA$3:$AD$28, 4, 0)), "", VLOOKUP( APIF_Import!$C360, INDIRECT( "Lookup_" &amp; APIF_Import!$M360:$O360), VLOOKUP( APIF_Import!$O360 &amp; APIF_Import!$L$1,Podesavanja!$AA$3:$AD$28, 4, 0), 0))</f>
        <v/>
      </c>
      <c r="M360" s="230" t="str">
        <f ca="1">IF( ISNA( VLOOKUP( APIF_Import!$O360 &amp; APIF_Import!$M$1,Podesavanja!$AA$3:$AD$28, 4, 0)), "", VLOOKUP( APIF_Import!$C360, INDIRECT( "Lookup_" &amp; APIF_Import!$M360:$O360), VLOOKUP( APIF_Import!$O360 &amp; APIF_Import!$M$1,Podesavanja!$AA$3:$AD$28, 4, 0), 0))</f>
        <v/>
      </c>
      <c r="N360" s="8">
        <v>361</v>
      </c>
      <c r="O360" s="8" t="s">
        <v>1538</v>
      </c>
    </row>
    <row r="361" spans="2:15">
      <c r="B361" s="44">
        <f ca="1">VLOOKUP( APIF_Import!$O361, Podesavanja!$N$3:$Q$9, 4, 0)</f>
        <v>4</v>
      </c>
      <c r="C361" s="229">
        <f ca="1">VLOOKUP( APIF_Import!$N361, Aop!$A$2:$P$456, 4, 0)</f>
        <v>611</v>
      </c>
      <c r="D361" s="230" t="str">
        <f ca="1">IF( ISNA( VLOOKUP( APIF_Import!$O361 &amp; APIF_Import!$D$1,Podesavanja!$AA$3:$AD$28, 4, 0)), "", SUBSTITUTE( VALUE( VLOOKUP( APIF_Import!$C361, INDIRECT( "Lookup_" &amp; APIF_Import!$O361), VLOOKUP( APIF_Import!$O361 &amp; APIF_Import!$D$1,Podesavanja!$AA$3:$AD$28, 4, 0), 0)), ".", ","))</f>
        <v>0</v>
      </c>
      <c r="E361" s="230">
        <f ca="1">IF( ISNA( VLOOKUP( APIF_Import!$O361 &amp; APIF_Import!$E$1,Podesavanja!$AA$3:$AD$28, 4, 0)), "", VLOOKUP( APIF_Import!$C361, INDIRECT( "Lookup_" &amp; APIF_Import!$O361), VLOOKUP( APIF_Import!$O361 &amp; APIF_Import!$E$1,Podesavanja!$AA$3:$AD$28, 4, 0), 0))</f>
        <v>0</v>
      </c>
      <c r="F361" s="230" t="str">
        <f ca="1">IF( ISNA( VLOOKUP( APIF_Import!$O361 &amp; APIF_Import!$F$1,Podesavanja!$AA$3:$AD$28, 4, 0)), "", VLOOKUP( APIF_Import!$C361, INDIRECT( "Lookup_" &amp; APIF_Import!$O361), VLOOKUP( APIF_Import!$O361 &amp; APIF_Import!$F$1,Podesavanja!$AA$3:$AD$28, 4, 0), 0))</f>
        <v/>
      </c>
      <c r="G361" s="230" t="str">
        <f ca="1">IF( ISNA( VLOOKUP( APIF_Import!$O361 &amp; APIF_Import!$G$1,Podesavanja!$AA$3:$AD$28, 4, 0)), "", VLOOKUP( APIF_Import!$C361, INDIRECT( "Lookup_" &amp; APIF_Import!$O361), VLOOKUP( APIF_Import!$O361 &amp; APIF_Import!$G$1,Podesavanja!$AA$3:$AD$28, 4, 0), 0))</f>
        <v/>
      </c>
      <c r="H361" s="230" t="str">
        <f ca="1">IF( ISNA( VLOOKUP( APIF_Import!$O361 &amp; APIF_Import!$H$1,Podesavanja!$AA$3:$AD$28, 4, 0)), "", VLOOKUP( APIF_Import!$C361, INDIRECT( "Lookup_" &amp; APIF_Import!$O361), VLOOKUP( APIF_Import!$O361 &amp; APIF_Import!$H$1,Podesavanja!$AA$3:$AD$28, 4, 0), 0))</f>
        <v/>
      </c>
      <c r="I361" s="230" t="str">
        <f ca="1">IF( ISNA( VLOOKUP( APIF_Import!$O361 &amp; APIF_Import!$I$1,Podesavanja!$AA$3:$AD$28, 4, 0)), "", VLOOKUP( APIF_Import!$C361, INDIRECT( "Lookup_" &amp; APIF_Import!$M361:$O361), VLOOKUP( APIF_Import!$O361 &amp; APIF_Import!$I$1,Podesavanja!$AA$3:$AD$28, 4, 0), 0))</f>
        <v/>
      </c>
      <c r="J361" s="230" t="str">
        <f ca="1">IF( ISNA( VLOOKUP( APIF_Import!$O361 &amp; APIF_Import!$J$1,Podesavanja!$AA$3:$AD$28, 4, 0)), "", VLOOKUP( APIF_Import!$C361, INDIRECT( "Lookup_" &amp; APIF_Import!$M361:$O361), VLOOKUP( APIF_Import!$O361 &amp; APIF_Import!$J$1,Podesavanja!$AA$3:$AD$28, 4, 0), 0))</f>
        <v/>
      </c>
      <c r="K361" s="230" t="str">
        <f ca="1">IF( ISNA( VLOOKUP( APIF_Import!$O361 &amp; APIF_Import!$K$1,Podesavanja!$AA$3:$AD$28, 4, 0)), "", VLOOKUP( APIF_Import!$C361, INDIRECT( "Lookup_" &amp; APIF_Import!$M361:$O361), VLOOKUP( APIF_Import!$O361 &amp; APIF_Import!$K$1,Podesavanja!$AA$3:$AD$28, 4, 0), 0))</f>
        <v/>
      </c>
      <c r="L361" s="230" t="str">
        <f ca="1">IF( ISNA( VLOOKUP( APIF_Import!$O361 &amp; APIF_Import!$L$1,Podesavanja!$AA$3:$AD$28, 4, 0)), "", VLOOKUP( APIF_Import!$C361, INDIRECT( "Lookup_" &amp; APIF_Import!$M361:$O361), VLOOKUP( APIF_Import!$O361 &amp; APIF_Import!$L$1,Podesavanja!$AA$3:$AD$28, 4, 0), 0))</f>
        <v/>
      </c>
      <c r="M361" s="230" t="str">
        <f ca="1">IF( ISNA( VLOOKUP( APIF_Import!$O361 &amp; APIF_Import!$M$1,Podesavanja!$AA$3:$AD$28, 4, 0)), "", VLOOKUP( APIF_Import!$C361, INDIRECT( "Lookup_" &amp; APIF_Import!$M361:$O361), VLOOKUP( APIF_Import!$O361 &amp; APIF_Import!$M$1,Podesavanja!$AA$3:$AD$28, 4, 0), 0))</f>
        <v/>
      </c>
      <c r="N361" s="8">
        <v>362</v>
      </c>
      <c r="O361" s="8" t="s">
        <v>1538</v>
      </c>
    </row>
    <row r="362" spans="2:15">
      <c r="B362" s="44">
        <f ca="1">VLOOKUP( APIF_Import!$O362, Podesavanja!$N$3:$Q$9, 4, 0)</f>
        <v>4</v>
      </c>
      <c r="C362" s="229">
        <f ca="1">VLOOKUP( APIF_Import!$N362, Aop!$A$2:$P$456, 4, 0)</f>
        <v>612</v>
      </c>
      <c r="D362" s="230" t="str">
        <f ca="1">IF( ISNA( VLOOKUP( APIF_Import!$O362 &amp; APIF_Import!$D$1,Podesavanja!$AA$3:$AD$28, 4, 0)), "", SUBSTITUTE( VALUE( VLOOKUP( APIF_Import!$C362, INDIRECT( "Lookup_" &amp; APIF_Import!$O362), VLOOKUP( APIF_Import!$O362 &amp; APIF_Import!$D$1,Podesavanja!$AA$3:$AD$28, 4, 0), 0)), ".", ","))</f>
        <v>0</v>
      </c>
      <c r="E362" s="230">
        <f ca="1">IF( ISNA( VLOOKUP( APIF_Import!$O362 &amp; APIF_Import!$E$1,Podesavanja!$AA$3:$AD$28, 4, 0)), "", VLOOKUP( APIF_Import!$C362, INDIRECT( "Lookup_" &amp; APIF_Import!$O362), VLOOKUP( APIF_Import!$O362 &amp; APIF_Import!$E$1,Podesavanja!$AA$3:$AD$28, 4, 0), 0))</f>
        <v>446576</v>
      </c>
      <c r="F362" s="230" t="str">
        <f ca="1">IF( ISNA( VLOOKUP( APIF_Import!$O362 &amp; APIF_Import!$F$1,Podesavanja!$AA$3:$AD$28, 4, 0)), "", VLOOKUP( APIF_Import!$C362, INDIRECT( "Lookup_" &amp; APIF_Import!$O362), VLOOKUP( APIF_Import!$O362 &amp; APIF_Import!$F$1,Podesavanja!$AA$3:$AD$28, 4, 0), 0))</f>
        <v/>
      </c>
      <c r="G362" s="230" t="str">
        <f ca="1">IF( ISNA( VLOOKUP( APIF_Import!$O362 &amp; APIF_Import!$G$1,Podesavanja!$AA$3:$AD$28, 4, 0)), "", VLOOKUP( APIF_Import!$C362, INDIRECT( "Lookup_" &amp; APIF_Import!$O362), VLOOKUP( APIF_Import!$O362 &amp; APIF_Import!$G$1,Podesavanja!$AA$3:$AD$28, 4, 0), 0))</f>
        <v/>
      </c>
      <c r="H362" s="230" t="str">
        <f ca="1">IF( ISNA( VLOOKUP( APIF_Import!$O362 &amp; APIF_Import!$H$1,Podesavanja!$AA$3:$AD$28, 4, 0)), "", VLOOKUP( APIF_Import!$C362, INDIRECT( "Lookup_" &amp; APIF_Import!$O362), VLOOKUP( APIF_Import!$O362 &amp; APIF_Import!$H$1,Podesavanja!$AA$3:$AD$28, 4, 0), 0))</f>
        <v/>
      </c>
      <c r="I362" s="230" t="str">
        <f ca="1">IF( ISNA( VLOOKUP( APIF_Import!$O362 &amp; APIF_Import!$I$1,Podesavanja!$AA$3:$AD$28, 4, 0)), "", VLOOKUP( APIF_Import!$C362, INDIRECT( "Lookup_" &amp; APIF_Import!$M362:$O362), VLOOKUP( APIF_Import!$O362 &amp; APIF_Import!$I$1,Podesavanja!$AA$3:$AD$28, 4, 0), 0))</f>
        <v/>
      </c>
      <c r="J362" s="230" t="str">
        <f ca="1">IF( ISNA( VLOOKUP( APIF_Import!$O362 &amp; APIF_Import!$J$1,Podesavanja!$AA$3:$AD$28, 4, 0)), "", VLOOKUP( APIF_Import!$C362, INDIRECT( "Lookup_" &amp; APIF_Import!$M362:$O362), VLOOKUP( APIF_Import!$O362 &amp; APIF_Import!$J$1,Podesavanja!$AA$3:$AD$28, 4, 0), 0))</f>
        <v/>
      </c>
      <c r="K362" s="230" t="str">
        <f ca="1">IF( ISNA( VLOOKUP( APIF_Import!$O362 &amp; APIF_Import!$K$1,Podesavanja!$AA$3:$AD$28, 4, 0)), "", VLOOKUP( APIF_Import!$C362, INDIRECT( "Lookup_" &amp; APIF_Import!$M362:$O362), VLOOKUP( APIF_Import!$O362 &amp; APIF_Import!$K$1,Podesavanja!$AA$3:$AD$28, 4, 0), 0))</f>
        <v/>
      </c>
      <c r="L362" s="230" t="str">
        <f ca="1">IF( ISNA( VLOOKUP( APIF_Import!$O362 &amp; APIF_Import!$L$1,Podesavanja!$AA$3:$AD$28, 4, 0)), "", VLOOKUP( APIF_Import!$C362, INDIRECT( "Lookup_" &amp; APIF_Import!$M362:$O362), VLOOKUP( APIF_Import!$O362 &amp; APIF_Import!$L$1,Podesavanja!$AA$3:$AD$28, 4, 0), 0))</f>
        <v/>
      </c>
      <c r="M362" s="230" t="str">
        <f ca="1">IF( ISNA( VLOOKUP( APIF_Import!$O362 &amp; APIF_Import!$M$1,Podesavanja!$AA$3:$AD$28, 4, 0)), "", VLOOKUP( APIF_Import!$C362, INDIRECT( "Lookup_" &amp; APIF_Import!$M362:$O362), VLOOKUP( APIF_Import!$O362 &amp; APIF_Import!$M$1,Podesavanja!$AA$3:$AD$28, 4, 0), 0))</f>
        <v/>
      </c>
      <c r="N362" s="8">
        <v>363</v>
      </c>
      <c r="O362" s="8" t="s">
        <v>1538</v>
      </c>
    </row>
    <row r="363" spans="2:15">
      <c r="B363" s="44">
        <f ca="1">VLOOKUP( APIF_Import!$O363, Podesavanja!$N$3:$Q$9, 4, 0)</f>
        <v>4</v>
      </c>
      <c r="C363" s="229">
        <f ca="1">VLOOKUP( APIF_Import!$N363, Aop!$A$2:$P$456, 4, 0)</f>
        <v>613</v>
      </c>
      <c r="D363" s="230" t="str">
        <f ca="1">IF( ISNA( VLOOKUP( APIF_Import!$O363 &amp; APIF_Import!$D$1,Podesavanja!$AA$3:$AD$28, 4, 0)), "", SUBSTITUTE( VALUE( VLOOKUP( APIF_Import!$C363, INDIRECT( "Lookup_" &amp; APIF_Import!$O363), VLOOKUP( APIF_Import!$O363 &amp; APIF_Import!$D$1,Podesavanja!$AA$3:$AD$28, 4, 0), 0)), ".", ","))</f>
        <v>225788</v>
      </c>
      <c r="E363" s="230">
        <f ca="1">IF( ISNA( VLOOKUP( APIF_Import!$O363 &amp; APIF_Import!$E$1,Podesavanja!$AA$3:$AD$28, 4, 0)), "", VLOOKUP( APIF_Import!$C363, INDIRECT( "Lookup_" &amp; APIF_Import!$O363), VLOOKUP( APIF_Import!$O363 &amp; APIF_Import!$E$1,Podesavanja!$AA$3:$AD$28, 4, 0), 0))</f>
        <v>0</v>
      </c>
      <c r="F363" s="230" t="str">
        <f ca="1">IF( ISNA( VLOOKUP( APIF_Import!$O363 &amp; APIF_Import!$F$1,Podesavanja!$AA$3:$AD$28, 4, 0)), "", VLOOKUP( APIF_Import!$C363, INDIRECT( "Lookup_" &amp; APIF_Import!$O363), VLOOKUP( APIF_Import!$O363 &amp; APIF_Import!$F$1,Podesavanja!$AA$3:$AD$28, 4, 0), 0))</f>
        <v/>
      </c>
      <c r="G363" s="230" t="str">
        <f ca="1">IF( ISNA( VLOOKUP( APIF_Import!$O363 &amp; APIF_Import!$G$1,Podesavanja!$AA$3:$AD$28, 4, 0)), "", VLOOKUP( APIF_Import!$C363, INDIRECT( "Lookup_" &amp; APIF_Import!$O363), VLOOKUP( APIF_Import!$O363 &amp; APIF_Import!$G$1,Podesavanja!$AA$3:$AD$28, 4, 0), 0))</f>
        <v/>
      </c>
      <c r="H363" s="230" t="str">
        <f ca="1">IF( ISNA( VLOOKUP( APIF_Import!$O363 &amp; APIF_Import!$H$1,Podesavanja!$AA$3:$AD$28, 4, 0)), "", VLOOKUP( APIF_Import!$C363, INDIRECT( "Lookup_" &amp; APIF_Import!$O363), VLOOKUP( APIF_Import!$O363 &amp; APIF_Import!$H$1,Podesavanja!$AA$3:$AD$28, 4, 0), 0))</f>
        <v/>
      </c>
      <c r="I363" s="230" t="str">
        <f ca="1">IF( ISNA( VLOOKUP( APIF_Import!$O363 &amp; APIF_Import!$I$1,Podesavanja!$AA$3:$AD$28, 4, 0)), "", VLOOKUP( APIF_Import!$C363, INDIRECT( "Lookup_" &amp; APIF_Import!$M363:$O363), VLOOKUP( APIF_Import!$O363 &amp; APIF_Import!$I$1,Podesavanja!$AA$3:$AD$28, 4, 0), 0))</f>
        <v/>
      </c>
      <c r="J363" s="230" t="str">
        <f ca="1">IF( ISNA( VLOOKUP( APIF_Import!$O363 &amp; APIF_Import!$J$1,Podesavanja!$AA$3:$AD$28, 4, 0)), "", VLOOKUP( APIF_Import!$C363, INDIRECT( "Lookup_" &amp; APIF_Import!$M363:$O363), VLOOKUP( APIF_Import!$O363 &amp; APIF_Import!$J$1,Podesavanja!$AA$3:$AD$28, 4, 0), 0))</f>
        <v/>
      </c>
      <c r="K363" s="230" t="str">
        <f ca="1">IF( ISNA( VLOOKUP( APIF_Import!$O363 &amp; APIF_Import!$K$1,Podesavanja!$AA$3:$AD$28, 4, 0)), "", VLOOKUP( APIF_Import!$C363, INDIRECT( "Lookup_" &amp; APIF_Import!$M363:$O363), VLOOKUP( APIF_Import!$O363 &amp; APIF_Import!$K$1,Podesavanja!$AA$3:$AD$28, 4, 0), 0))</f>
        <v/>
      </c>
      <c r="L363" s="230" t="str">
        <f ca="1">IF( ISNA( VLOOKUP( APIF_Import!$O363 &amp; APIF_Import!$L$1,Podesavanja!$AA$3:$AD$28, 4, 0)), "", VLOOKUP( APIF_Import!$C363, INDIRECT( "Lookup_" &amp; APIF_Import!$M363:$O363), VLOOKUP( APIF_Import!$O363 &amp; APIF_Import!$L$1,Podesavanja!$AA$3:$AD$28, 4, 0), 0))</f>
        <v/>
      </c>
      <c r="M363" s="230" t="str">
        <f ca="1">IF( ISNA( VLOOKUP( APIF_Import!$O363 &amp; APIF_Import!$M$1,Podesavanja!$AA$3:$AD$28, 4, 0)), "", VLOOKUP( APIF_Import!$C363, INDIRECT( "Lookup_" &amp; APIF_Import!$M363:$O363), VLOOKUP( APIF_Import!$O363 &amp; APIF_Import!$M$1,Podesavanja!$AA$3:$AD$28, 4, 0), 0))</f>
        <v/>
      </c>
      <c r="N363" s="8">
        <v>364</v>
      </c>
      <c r="O363" s="8" t="s">
        <v>1538</v>
      </c>
    </row>
    <row r="364" spans="2:15">
      <c r="B364" s="44">
        <f ca="1">VLOOKUP( APIF_Import!$O364, Podesavanja!$N$3:$Q$9, 4, 0)</f>
        <v>4</v>
      </c>
      <c r="C364" s="229">
        <f ca="1">VLOOKUP( APIF_Import!$N364, Aop!$A$2:$P$456, 4, 0)</f>
        <v>614</v>
      </c>
      <c r="D364" s="230" t="str">
        <f ca="1">IF( ISNA( VLOOKUP( APIF_Import!$O364 &amp; APIF_Import!$D$1,Podesavanja!$AA$3:$AD$28, 4, 0)), "", SUBSTITUTE( VALUE( VLOOKUP( APIF_Import!$C364, INDIRECT( "Lookup_" &amp; APIF_Import!$O364), VLOOKUP( APIF_Import!$O364 &amp; APIF_Import!$D$1,Podesavanja!$AA$3:$AD$28, 4, 0), 0)), ".", ","))</f>
        <v>0</v>
      </c>
      <c r="E364" s="230">
        <f ca="1">IF( ISNA( VLOOKUP( APIF_Import!$O364 &amp; APIF_Import!$E$1,Podesavanja!$AA$3:$AD$28, 4, 0)), "", VLOOKUP( APIF_Import!$C364, INDIRECT( "Lookup_" &amp; APIF_Import!$O364), VLOOKUP( APIF_Import!$O364 &amp; APIF_Import!$E$1,Podesavanja!$AA$3:$AD$28, 4, 0), 0))</f>
        <v>0</v>
      </c>
      <c r="F364" s="230" t="str">
        <f ca="1">IF( ISNA( VLOOKUP( APIF_Import!$O364 &amp; APIF_Import!$F$1,Podesavanja!$AA$3:$AD$28, 4, 0)), "", VLOOKUP( APIF_Import!$C364, INDIRECT( "Lookup_" &amp; APIF_Import!$O364), VLOOKUP( APIF_Import!$O364 &amp; APIF_Import!$F$1,Podesavanja!$AA$3:$AD$28, 4, 0), 0))</f>
        <v/>
      </c>
      <c r="G364" s="230" t="str">
        <f ca="1">IF( ISNA( VLOOKUP( APIF_Import!$O364 &amp; APIF_Import!$G$1,Podesavanja!$AA$3:$AD$28, 4, 0)), "", VLOOKUP( APIF_Import!$C364, INDIRECT( "Lookup_" &amp; APIF_Import!$O364), VLOOKUP( APIF_Import!$O364 &amp; APIF_Import!$G$1,Podesavanja!$AA$3:$AD$28, 4, 0), 0))</f>
        <v/>
      </c>
      <c r="H364" s="230" t="str">
        <f ca="1">IF( ISNA( VLOOKUP( APIF_Import!$O364 &amp; APIF_Import!$H$1,Podesavanja!$AA$3:$AD$28, 4, 0)), "", VLOOKUP( APIF_Import!$C364, INDIRECT( "Lookup_" &amp; APIF_Import!$O364), VLOOKUP( APIF_Import!$O364 &amp; APIF_Import!$H$1,Podesavanja!$AA$3:$AD$28, 4, 0), 0))</f>
        <v/>
      </c>
      <c r="I364" s="230" t="str">
        <f ca="1">IF( ISNA( VLOOKUP( APIF_Import!$O364 &amp; APIF_Import!$I$1,Podesavanja!$AA$3:$AD$28, 4, 0)), "", VLOOKUP( APIF_Import!$C364, INDIRECT( "Lookup_" &amp; APIF_Import!$M364:$O364), VLOOKUP( APIF_Import!$O364 &amp; APIF_Import!$I$1,Podesavanja!$AA$3:$AD$28, 4, 0), 0))</f>
        <v/>
      </c>
      <c r="J364" s="230" t="str">
        <f ca="1">IF( ISNA( VLOOKUP( APIF_Import!$O364 &amp; APIF_Import!$J$1,Podesavanja!$AA$3:$AD$28, 4, 0)), "", VLOOKUP( APIF_Import!$C364, INDIRECT( "Lookup_" &amp; APIF_Import!$M364:$O364), VLOOKUP( APIF_Import!$O364 &amp; APIF_Import!$J$1,Podesavanja!$AA$3:$AD$28, 4, 0), 0))</f>
        <v/>
      </c>
      <c r="K364" s="230" t="str">
        <f ca="1">IF( ISNA( VLOOKUP( APIF_Import!$O364 &amp; APIF_Import!$K$1,Podesavanja!$AA$3:$AD$28, 4, 0)), "", VLOOKUP( APIF_Import!$C364, INDIRECT( "Lookup_" &amp; APIF_Import!$M364:$O364), VLOOKUP( APIF_Import!$O364 &amp; APIF_Import!$K$1,Podesavanja!$AA$3:$AD$28, 4, 0), 0))</f>
        <v/>
      </c>
      <c r="L364" s="230" t="str">
        <f ca="1">IF( ISNA( VLOOKUP( APIF_Import!$O364 &amp; APIF_Import!$L$1,Podesavanja!$AA$3:$AD$28, 4, 0)), "", VLOOKUP( APIF_Import!$C364, INDIRECT( "Lookup_" &amp; APIF_Import!$M364:$O364), VLOOKUP( APIF_Import!$O364 &amp; APIF_Import!$L$1,Podesavanja!$AA$3:$AD$28, 4, 0), 0))</f>
        <v/>
      </c>
      <c r="M364" s="230" t="str">
        <f ca="1">IF( ISNA( VLOOKUP( APIF_Import!$O364 &amp; APIF_Import!$M$1,Podesavanja!$AA$3:$AD$28, 4, 0)), "", VLOOKUP( APIF_Import!$C364, INDIRECT( "Lookup_" &amp; APIF_Import!$M364:$O364), VLOOKUP( APIF_Import!$O364 &amp; APIF_Import!$M$1,Podesavanja!$AA$3:$AD$28, 4, 0), 0))</f>
        <v/>
      </c>
      <c r="N364" s="8">
        <v>365</v>
      </c>
      <c r="O364" s="8" t="s">
        <v>1538</v>
      </c>
    </row>
    <row r="365" spans="2:15">
      <c r="B365" s="44">
        <f ca="1">VLOOKUP( APIF_Import!$O365, Podesavanja!$N$3:$Q$9, 4, 0)</f>
        <v>4</v>
      </c>
      <c r="C365" s="229">
        <f ca="1">VLOOKUP( APIF_Import!$N365, Aop!$A$2:$P$456, 4, 0)</f>
        <v>615</v>
      </c>
      <c r="D365" s="230" t="str">
        <f ca="1">IF( ISNA( VLOOKUP( APIF_Import!$O365 &amp; APIF_Import!$D$1,Podesavanja!$AA$3:$AD$28, 4, 0)), "", SUBSTITUTE( VALUE( VLOOKUP( APIF_Import!$C365, INDIRECT( "Lookup_" &amp; APIF_Import!$O365), VLOOKUP( APIF_Import!$O365 &amp; APIF_Import!$D$1,Podesavanja!$AA$3:$AD$28, 4, 0), 0)), ".", ","))</f>
        <v>0</v>
      </c>
      <c r="E365" s="230">
        <f ca="1">IF( ISNA( VLOOKUP( APIF_Import!$O365 &amp; APIF_Import!$E$1,Podesavanja!$AA$3:$AD$28, 4, 0)), "", VLOOKUP( APIF_Import!$C365, INDIRECT( "Lookup_" &amp; APIF_Import!$O365), VLOOKUP( APIF_Import!$O365 &amp; APIF_Import!$E$1,Podesavanja!$AA$3:$AD$28, 4, 0), 0))</f>
        <v>0</v>
      </c>
      <c r="F365" s="230" t="str">
        <f ca="1">IF( ISNA( VLOOKUP( APIF_Import!$O365 &amp; APIF_Import!$F$1,Podesavanja!$AA$3:$AD$28, 4, 0)), "", VLOOKUP( APIF_Import!$C365, INDIRECT( "Lookup_" &amp; APIF_Import!$O365), VLOOKUP( APIF_Import!$O365 &amp; APIF_Import!$F$1,Podesavanja!$AA$3:$AD$28, 4, 0), 0))</f>
        <v/>
      </c>
      <c r="G365" s="230" t="str">
        <f ca="1">IF( ISNA( VLOOKUP( APIF_Import!$O365 &amp; APIF_Import!$G$1,Podesavanja!$AA$3:$AD$28, 4, 0)), "", VLOOKUP( APIF_Import!$C365, INDIRECT( "Lookup_" &amp; APIF_Import!$O365), VLOOKUP( APIF_Import!$O365 &amp; APIF_Import!$G$1,Podesavanja!$AA$3:$AD$28, 4, 0), 0))</f>
        <v/>
      </c>
      <c r="H365" s="230" t="str">
        <f ca="1">IF( ISNA( VLOOKUP( APIF_Import!$O365 &amp; APIF_Import!$H$1,Podesavanja!$AA$3:$AD$28, 4, 0)), "", VLOOKUP( APIF_Import!$C365, INDIRECT( "Lookup_" &amp; APIF_Import!$O365), VLOOKUP( APIF_Import!$O365 &amp; APIF_Import!$H$1,Podesavanja!$AA$3:$AD$28, 4, 0), 0))</f>
        <v/>
      </c>
      <c r="I365" s="230" t="str">
        <f ca="1">IF( ISNA( VLOOKUP( APIF_Import!$O365 &amp; APIF_Import!$I$1,Podesavanja!$AA$3:$AD$28, 4, 0)), "", VLOOKUP( APIF_Import!$C365, INDIRECT( "Lookup_" &amp; APIF_Import!$M365:$O365), VLOOKUP( APIF_Import!$O365 &amp; APIF_Import!$I$1,Podesavanja!$AA$3:$AD$28, 4, 0), 0))</f>
        <v/>
      </c>
      <c r="J365" s="230" t="str">
        <f ca="1">IF( ISNA( VLOOKUP( APIF_Import!$O365 &amp; APIF_Import!$J$1,Podesavanja!$AA$3:$AD$28, 4, 0)), "", VLOOKUP( APIF_Import!$C365, INDIRECT( "Lookup_" &amp; APIF_Import!$M365:$O365), VLOOKUP( APIF_Import!$O365 &amp; APIF_Import!$J$1,Podesavanja!$AA$3:$AD$28, 4, 0), 0))</f>
        <v/>
      </c>
      <c r="K365" s="230" t="str">
        <f ca="1">IF( ISNA( VLOOKUP( APIF_Import!$O365 &amp; APIF_Import!$K$1,Podesavanja!$AA$3:$AD$28, 4, 0)), "", VLOOKUP( APIF_Import!$C365, INDIRECT( "Lookup_" &amp; APIF_Import!$M365:$O365), VLOOKUP( APIF_Import!$O365 &amp; APIF_Import!$K$1,Podesavanja!$AA$3:$AD$28, 4, 0), 0))</f>
        <v/>
      </c>
      <c r="L365" s="230" t="str">
        <f ca="1">IF( ISNA( VLOOKUP( APIF_Import!$O365 &amp; APIF_Import!$L$1,Podesavanja!$AA$3:$AD$28, 4, 0)), "", VLOOKUP( APIF_Import!$C365, INDIRECT( "Lookup_" &amp; APIF_Import!$M365:$O365), VLOOKUP( APIF_Import!$O365 &amp; APIF_Import!$L$1,Podesavanja!$AA$3:$AD$28, 4, 0), 0))</f>
        <v/>
      </c>
      <c r="M365" s="230" t="str">
        <f ca="1">IF( ISNA( VLOOKUP( APIF_Import!$O365 &amp; APIF_Import!$M$1,Podesavanja!$AA$3:$AD$28, 4, 0)), "", VLOOKUP( APIF_Import!$C365, INDIRECT( "Lookup_" &amp; APIF_Import!$M365:$O365), VLOOKUP( APIF_Import!$O365 &amp; APIF_Import!$M$1,Podesavanja!$AA$3:$AD$28, 4, 0), 0))</f>
        <v/>
      </c>
      <c r="N365" s="8">
        <v>366</v>
      </c>
      <c r="O365" s="8" t="s">
        <v>1538</v>
      </c>
    </row>
    <row r="366" spans="2:15">
      <c r="B366" s="44">
        <f ca="1">VLOOKUP( APIF_Import!$O366, Podesavanja!$N$3:$Q$9, 4, 0)</f>
        <v>4</v>
      </c>
      <c r="C366" s="229">
        <f ca="1">VLOOKUP( APIF_Import!$N366, Aop!$A$2:$P$456, 4, 0)</f>
        <v>616</v>
      </c>
      <c r="D366" s="230" t="str">
        <f ca="1">IF( ISNA( VLOOKUP( APIF_Import!$O366 &amp; APIF_Import!$D$1,Podesavanja!$AA$3:$AD$28, 4, 0)), "", SUBSTITUTE( VALUE( VLOOKUP( APIF_Import!$C366, INDIRECT( "Lookup_" &amp; APIF_Import!$O366), VLOOKUP( APIF_Import!$O366 &amp; APIF_Import!$D$1,Podesavanja!$AA$3:$AD$28, 4, 0), 0)), ".", ","))</f>
        <v>0</v>
      </c>
      <c r="E366" s="230">
        <f ca="1">IF( ISNA( VLOOKUP( APIF_Import!$O366 &amp; APIF_Import!$E$1,Podesavanja!$AA$3:$AD$28, 4, 0)), "", VLOOKUP( APIF_Import!$C366, INDIRECT( "Lookup_" &amp; APIF_Import!$O366), VLOOKUP( APIF_Import!$O366 &amp; APIF_Import!$E$1,Podesavanja!$AA$3:$AD$28, 4, 0), 0))</f>
        <v>0</v>
      </c>
      <c r="F366" s="230" t="str">
        <f ca="1">IF( ISNA( VLOOKUP( APIF_Import!$O366 &amp; APIF_Import!$F$1,Podesavanja!$AA$3:$AD$28, 4, 0)), "", VLOOKUP( APIF_Import!$C366, INDIRECT( "Lookup_" &amp; APIF_Import!$O366), VLOOKUP( APIF_Import!$O366 &amp; APIF_Import!$F$1,Podesavanja!$AA$3:$AD$28, 4, 0), 0))</f>
        <v/>
      </c>
      <c r="G366" s="230" t="str">
        <f ca="1">IF( ISNA( VLOOKUP( APIF_Import!$O366 &amp; APIF_Import!$G$1,Podesavanja!$AA$3:$AD$28, 4, 0)), "", VLOOKUP( APIF_Import!$C366, INDIRECT( "Lookup_" &amp; APIF_Import!$O366), VLOOKUP( APIF_Import!$O366 &amp; APIF_Import!$G$1,Podesavanja!$AA$3:$AD$28, 4, 0), 0))</f>
        <v/>
      </c>
      <c r="H366" s="230" t="str">
        <f ca="1">IF( ISNA( VLOOKUP( APIF_Import!$O366 &amp; APIF_Import!$H$1,Podesavanja!$AA$3:$AD$28, 4, 0)), "", VLOOKUP( APIF_Import!$C366, INDIRECT( "Lookup_" &amp; APIF_Import!$O366), VLOOKUP( APIF_Import!$O366 &amp; APIF_Import!$H$1,Podesavanja!$AA$3:$AD$28, 4, 0), 0))</f>
        <v/>
      </c>
      <c r="I366" s="230" t="str">
        <f ca="1">IF( ISNA( VLOOKUP( APIF_Import!$O366 &amp; APIF_Import!$I$1,Podesavanja!$AA$3:$AD$28, 4, 0)), "", VLOOKUP( APIF_Import!$C366, INDIRECT( "Lookup_" &amp; APIF_Import!$M366:$O366), VLOOKUP( APIF_Import!$O366 &amp; APIF_Import!$I$1,Podesavanja!$AA$3:$AD$28, 4, 0), 0))</f>
        <v/>
      </c>
      <c r="J366" s="230" t="str">
        <f ca="1">IF( ISNA( VLOOKUP( APIF_Import!$O366 &amp; APIF_Import!$J$1,Podesavanja!$AA$3:$AD$28, 4, 0)), "", VLOOKUP( APIF_Import!$C366, INDIRECT( "Lookup_" &amp; APIF_Import!$M366:$O366), VLOOKUP( APIF_Import!$O366 &amp; APIF_Import!$J$1,Podesavanja!$AA$3:$AD$28, 4, 0), 0))</f>
        <v/>
      </c>
      <c r="K366" s="230" t="str">
        <f ca="1">IF( ISNA( VLOOKUP( APIF_Import!$O366 &amp; APIF_Import!$K$1,Podesavanja!$AA$3:$AD$28, 4, 0)), "", VLOOKUP( APIF_Import!$C366, INDIRECT( "Lookup_" &amp; APIF_Import!$M366:$O366), VLOOKUP( APIF_Import!$O366 &amp; APIF_Import!$K$1,Podesavanja!$AA$3:$AD$28, 4, 0), 0))</f>
        <v/>
      </c>
      <c r="L366" s="230" t="str">
        <f ca="1">IF( ISNA( VLOOKUP( APIF_Import!$O366 &amp; APIF_Import!$L$1,Podesavanja!$AA$3:$AD$28, 4, 0)), "", VLOOKUP( APIF_Import!$C366, INDIRECT( "Lookup_" &amp; APIF_Import!$M366:$O366), VLOOKUP( APIF_Import!$O366 &amp; APIF_Import!$L$1,Podesavanja!$AA$3:$AD$28, 4, 0), 0))</f>
        <v/>
      </c>
      <c r="M366" s="230" t="str">
        <f ca="1">IF( ISNA( VLOOKUP( APIF_Import!$O366 &amp; APIF_Import!$M$1,Podesavanja!$AA$3:$AD$28, 4, 0)), "", VLOOKUP( APIF_Import!$C366, INDIRECT( "Lookup_" &amp; APIF_Import!$M366:$O366), VLOOKUP( APIF_Import!$O366 &amp; APIF_Import!$M$1,Podesavanja!$AA$3:$AD$28, 4, 0), 0))</f>
        <v/>
      </c>
      <c r="N366" s="8">
        <v>367</v>
      </c>
      <c r="O366" s="8" t="s">
        <v>1538</v>
      </c>
    </row>
    <row r="367" spans="2:15">
      <c r="B367" s="44">
        <f ca="1">VLOOKUP( APIF_Import!$O367, Podesavanja!$N$3:$Q$9, 4, 0)</f>
        <v>4</v>
      </c>
      <c r="C367" s="229">
        <f ca="1">VLOOKUP( APIF_Import!$N367, Aop!$A$2:$P$456, 4, 0)</f>
        <v>617</v>
      </c>
      <c r="D367" s="230" t="str">
        <f ca="1">IF( ISNA( VLOOKUP( APIF_Import!$O367 &amp; APIF_Import!$D$1,Podesavanja!$AA$3:$AD$28, 4, 0)), "", SUBSTITUTE( VALUE( VLOOKUP( APIF_Import!$C367, INDIRECT( "Lookup_" &amp; APIF_Import!$O367), VLOOKUP( APIF_Import!$O367 &amp; APIF_Import!$D$1,Podesavanja!$AA$3:$AD$28, 4, 0), 0)), ".", ","))</f>
        <v>0</v>
      </c>
      <c r="E367" s="230">
        <f ca="1">IF( ISNA( VLOOKUP( APIF_Import!$O367 &amp; APIF_Import!$E$1,Podesavanja!$AA$3:$AD$28, 4, 0)), "", VLOOKUP( APIF_Import!$C367, INDIRECT( "Lookup_" &amp; APIF_Import!$O367), VLOOKUP( APIF_Import!$O367 &amp; APIF_Import!$E$1,Podesavanja!$AA$3:$AD$28, 4, 0), 0))</f>
        <v>0</v>
      </c>
      <c r="F367" s="230" t="str">
        <f ca="1">IF( ISNA( VLOOKUP( APIF_Import!$O367 &amp; APIF_Import!$F$1,Podesavanja!$AA$3:$AD$28, 4, 0)), "", VLOOKUP( APIF_Import!$C367, INDIRECT( "Lookup_" &amp; APIF_Import!$O367), VLOOKUP( APIF_Import!$O367 &amp; APIF_Import!$F$1,Podesavanja!$AA$3:$AD$28, 4, 0), 0))</f>
        <v/>
      </c>
      <c r="G367" s="230" t="str">
        <f ca="1">IF( ISNA( VLOOKUP( APIF_Import!$O367 &amp; APIF_Import!$G$1,Podesavanja!$AA$3:$AD$28, 4, 0)), "", VLOOKUP( APIF_Import!$C367, INDIRECT( "Lookup_" &amp; APIF_Import!$O367), VLOOKUP( APIF_Import!$O367 &amp; APIF_Import!$G$1,Podesavanja!$AA$3:$AD$28, 4, 0), 0))</f>
        <v/>
      </c>
      <c r="H367" s="230" t="str">
        <f ca="1">IF( ISNA( VLOOKUP( APIF_Import!$O367 &amp; APIF_Import!$H$1,Podesavanja!$AA$3:$AD$28, 4, 0)), "", VLOOKUP( APIF_Import!$C367, INDIRECT( "Lookup_" &amp; APIF_Import!$O367), VLOOKUP( APIF_Import!$O367 &amp; APIF_Import!$H$1,Podesavanja!$AA$3:$AD$28, 4, 0), 0))</f>
        <v/>
      </c>
      <c r="I367" s="230" t="str">
        <f ca="1">IF( ISNA( VLOOKUP( APIF_Import!$O367 &amp; APIF_Import!$I$1,Podesavanja!$AA$3:$AD$28, 4, 0)), "", VLOOKUP( APIF_Import!$C367, INDIRECT( "Lookup_" &amp; APIF_Import!$M367:$O367), VLOOKUP( APIF_Import!$O367 &amp; APIF_Import!$I$1,Podesavanja!$AA$3:$AD$28, 4, 0), 0))</f>
        <v/>
      </c>
      <c r="J367" s="230" t="str">
        <f ca="1">IF( ISNA( VLOOKUP( APIF_Import!$O367 &amp; APIF_Import!$J$1,Podesavanja!$AA$3:$AD$28, 4, 0)), "", VLOOKUP( APIF_Import!$C367, INDIRECT( "Lookup_" &amp; APIF_Import!$M367:$O367), VLOOKUP( APIF_Import!$O367 &amp; APIF_Import!$J$1,Podesavanja!$AA$3:$AD$28, 4, 0), 0))</f>
        <v/>
      </c>
      <c r="K367" s="230" t="str">
        <f ca="1">IF( ISNA( VLOOKUP( APIF_Import!$O367 &amp; APIF_Import!$K$1,Podesavanja!$AA$3:$AD$28, 4, 0)), "", VLOOKUP( APIF_Import!$C367, INDIRECT( "Lookup_" &amp; APIF_Import!$M367:$O367), VLOOKUP( APIF_Import!$O367 &amp; APIF_Import!$K$1,Podesavanja!$AA$3:$AD$28, 4, 0), 0))</f>
        <v/>
      </c>
      <c r="L367" s="230" t="str">
        <f ca="1">IF( ISNA( VLOOKUP( APIF_Import!$O367 &amp; APIF_Import!$L$1,Podesavanja!$AA$3:$AD$28, 4, 0)), "", VLOOKUP( APIF_Import!$C367, INDIRECT( "Lookup_" &amp; APIF_Import!$M367:$O367), VLOOKUP( APIF_Import!$O367 &amp; APIF_Import!$L$1,Podesavanja!$AA$3:$AD$28, 4, 0), 0))</f>
        <v/>
      </c>
      <c r="M367" s="230" t="str">
        <f ca="1">IF( ISNA( VLOOKUP( APIF_Import!$O367 &amp; APIF_Import!$M$1,Podesavanja!$AA$3:$AD$28, 4, 0)), "", VLOOKUP( APIF_Import!$C367, INDIRECT( "Lookup_" &amp; APIF_Import!$M367:$O367), VLOOKUP( APIF_Import!$O367 &amp; APIF_Import!$M$1,Podesavanja!$AA$3:$AD$28, 4, 0), 0))</f>
        <v/>
      </c>
      <c r="N367" s="8">
        <v>368</v>
      </c>
      <c r="O367" s="8" t="s">
        <v>1538</v>
      </c>
    </row>
    <row r="368" spans="2:15">
      <c r="B368" s="44">
        <f ca="1">VLOOKUP( APIF_Import!$O368, Podesavanja!$N$3:$Q$9, 4, 0)</f>
        <v>4</v>
      </c>
      <c r="C368" s="229">
        <f ca="1">VLOOKUP( APIF_Import!$N368, Aop!$A$2:$P$456, 4, 0)</f>
        <v>618</v>
      </c>
      <c r="D368" s="230" t="str">
        <f ca="1">IF( ISNA( VLOOKUP( APIF_Import!$O368 &amp; APIF_Import!$D$1,Podesavanja!$AA$3:$AD$28, 4, 0)), "", SUBSTITUTE( VALUE( VLOOKUP( APIF_Import!$C368, INDIRECT( "Lookup_" &amp; APIF_Import!$O368), VLOOKUP( APIF_Import!$O368 &amp; APIF_Import!$D$1,Podesavanja!$AA$3:$AD$28, 4, 0), 0)), ".", ","))</f>
        <v>0</v>
      </c>
      <c r="E368" s="230">
        <f ca="1">IF( ISNA( VLOOKUP( APIF_Import!$O368 &amp; APIF_Import!$E$1,Podesavanja!$AA$3:$AD$28, 4, 0)), "", VLOOKUP( APIF_Import!$C368, INDIRECT( "Lookup_" &amp; APIF_Import!$O368), VLOOKUP( APIF_Import!$O368 &amp; APIF_Import!$E$1,Podesavanja!$AA$3:$AD$28, 4, 0), 0))</f>
        <v>0</v>
      </c>
      <c r="F368" s="230" t="str">
        <f ca="1">IF( ISNA( VLOOKUP( APIF_Import!$O368 &amp; APIF_Import!$F$1,Podesavanja!$AA$3:$AD$28, 4, 0)), "", VLOOKUP( APIF_Import!$C368, INDIRECT( "Lookup_" &amp; APIF_Import!$O368), VLOOKUP( APIF_Import!$O368 &amp; APIF_Import!$F$1,Podesavanja!$AA$3:$AD$28, 4, 0), 0))</f>
        <v/>
      </c>
      <c r="G368" s="230" t="str">
        <f ca="1">IF( ISNA( VLOOKUP( APIF_Import!$O368 &amp; APIF_Import!$G$1,Podesavanja!$AA$3:$AD$28, 4, 0)), "", VLOOKUP( APIF_Import!$C368, INDIRECT( "Lookup_" &amp; APIF_Import!$O368), VLOOKUP( APIF_Import!$O368 &amp; APIF_Import!$G$1,Podesavanja!$AA$3:$AD$28, 4, 0), 0))</f>
        <v/>
      </c>
      <c r="H368" s="230" t="str">
        <f ca="1">IF( ISNA( VLOOKUP( APIF_Import!$O368 &amp; APIF_Import!$H$1,Podesavanja!$AA$3:$AD$28, 4, 0)), "", VLOOKUP( APIF_Import!$C368, INDIRECT( "Lookup_" &amp; APIF_Import!$O368), VLOOKUP( APIF_Import!$O368 &amp; APIF_Import!$H$1,Podesavanja!$AA$3:$AD$28, 4, 0), 0))</f>
        <v/>
      </c>
      <c r="I368" s="230" t="str">
        <f ca="1">IF( ISNA( VLOOKUP( APIF_Import!$O368 &amp; APIF_Import!$I$1,Podesavanja!$AA$3:$AD$28, 4, 0)), "", VLOOKUP( APIF_Import!$C368, INDIRECT( "Lookup_" &amp; APIF_Import!$M368:$O368), VLOOKUP( APIF_Import!$O368 &amp; APIF_Import!$I$1,Podesavanja!$AA$3:$AD$28, 4, 0), 0))</f>
        <v/>
      </c>
      <c r="J368" s="230" t="str">
        <f ca="1">IF( ISNA( VLOOKUP( APIF_Import!$O368 &amp; APIF_Import!$J$1,Podesavanja!$AA$3:$AD$28, 4, 0)), "", VLOOKUP( APIF_Import!$C368, INDIRECT( "Lookup_" &amp; APIF_Import!$M368:$O368), VLOOKUP( APIF_Import!$O368 &amp; APIF_Import!$J$1,Podesavanja!$AA$3:$AD$28, 4, 0), 0))</f>
        <v/>
      </c>
      <c r="K368" s="230" t="str">
        <f ca="1">IF( ISNA( VLOOKUP( APIF_Import!$O368 &amp; APIF_Import!$K$1,Podesavanja!$AA$3:$AD$28, 4, 0)), "", VLOOKUP( APIF_Import!$C368, INDIRECT( "Lookup_" &amp; APIF_Import!$M368:$O368), VLOOKUP( APIF_Import!$O368 &amp; APIF_Import!$K$1,Podesavanja!$AA$3:$AD$28, 4, 0), 0))</f>
        <v/>
      </c>
      <c r="L368" s="230" t="str">
        <f ca="1">IF( ISNA( VLOOKUP( APIF_Import!$O368 &amp; APIF_Import!$L$1,Podesavanja!$AA$3:$AD$28, 4, 0)), "", VLOOKUP( APIF_Import!$C368, INDIRECT( "Lookup_" &amp; APIF_Import!$M368:$O368), VLOOKUP( APIF_Import!$O368 &amp; APIF_Import!$L$1,Podesavanja!$AA$3:$AD$28, 4, 0), 0))</f>
        <v/>
      </c>
      <c r="M368" s="230" t="str">
        <f ca="1">IF( ISNA( VLOOKUP( APIF_Import!$O368 &amp; APIF_Import!$M$1,Podesavanja!$AA$3:$AD$28, 4, 0)), "", VLOOKUP( APIF_Import!$C368, INDIRECT( "Lookup_" &amp; APIF_Import!$M368:$O368), VLOOKUP( APIF_Import!$O368 &amp; APIF_Import!$M$1,Podesavanja!$AA$3:$AD$28, 4, 0), 0))</f>
        <v/>
      </c>
      <c r="N368" s="8">
        <v>369</v>
      </c>
      <c r="O368" s="8" t="s">
        <v>1538</v>
      </c>
    </row>
    <row r="369" spans="2:15">
      <c r="B369" s="44">
        <f ca="1">VLOOKUP( APIF_Import!$O369, Podesavanja!$N$3:$Q$9, 4, 0)</f>
        <v>4</v>
      </c>
      <c r="C369" s="229">
        <f ca="1">VLOOKUP( APIF_Import!$N369, Aop!$A$2:$P$456, 4, 0)</f>
        <v>619</v>
      </c>
      <c r="D369" s="230" t="str">
        <f ca="1">IF( ISNA( VLOOKUP( APIF_Import!$O369 &amp; APIF_Import!$D$1,Podesavanja!$AA$3:$AD$28, 4, 0)), "", SUBSTITUTE( VALUE( VLOOKUP( APIF_Import!$C369, INDIRECT( "Lookup_" &amp; APIF_Import!$O369), VLOOKUP( APIF_Import!$O369 &amp; APIF_Import!$D$1,Podesavanja!$AA$3:$AD$28, 4, 0), 0)), ".", ","))</f>
        <v>33608</v>
      </c>
      <c r="E369" s="230">
        <f ca="1">IF( ISNA( VLOOKUP( APIF_Import!$O369 &amp; APIF_Import!$E$1,Podesavanja!$AA$3:$AD$28, 4, 0)), "", VLOOKUP( APIF_Import!$C369, INDIRECT( "Lookup_" &amp; APIF_Import!$O369), VLOOKUP( APIF_Import!$O369 &amp; APIF_Import!$E$1,Podesavanja!$AA$3:$AD$28, 4, 0), 0))</f>
        <v>27960</v>
      </c>
      <c r="F369" s="230" t="str">
        <f ca="1">IF( ISNA( VLOOKUP( APIF_Import!$O369 &amp; APIF_Import!$F$1,Podesavanja!$AA$3:$AD$28, 4, 0)), "", VLOOKUP( APIF_Import!$C369, INDIRECT( "Lookup_" &amp; APIF_Import!$O369), VLOOKUP( APIF_Import!$O369 &amp; APIF_Import!$F$1,Podesavanja!$AA$3:$AD$28, 4, 0), 0))</f>
        <v/>
      </c>
      <c r="G369" s="230" t="str">
        <f ca="1">IF( ISNA( VLOOKUP( APIF_Import!$O369 &amp; APIF_Import!$G$1,Podesavanja!$AA$3:$AD$28, 4, 0)), "", VLOOKUP( APIF_Import!$C369, INDIRECT( "Lookup_" &amp; APIF_Import!$O369), VLOOKUP( APIF_Import!$O369 &amp; APIF_Import!$G$1,Podesavanja!$AA$3:$AD$28, 4, 0), 0))</f>
        <v/>
      </c>
      <c r="H369" s="230" t="str">
        <f ca="1">IF( ISNA( VLOOKUP( APIF_Import!$O369 &amp; APIF_Import!$H$1,Podesavanja!$AA$3:$AD$28, 4, 0)), "", VLOOKUP( APIF_Import!$C369, INDIRECT( "Lookup_" &amp; APIF_Import!$O369), VLOOKUP( APIF_Import!$O369 &amp; APIF_Import!$H$1,Podesavanja!$AA$3:$AD$28, 4, 0), 0))</f>
        <v/>
      </c>
      <c r="I369" s="230" t="str">
        <f ca="1">IF( ISNA( VLOOKUP( APIF_Import!$O369 &amp; APIF_Import!$I$1,Podesavanja!$AA$3:$AD$28, 4, 0)), "", VLOOKUP( APIF_Import!$C369, INDIRECT( "Lookup_" &amp; APIF_Import!$M369:$O369), VLOOKUP( APIF_Import!$O369 &amp; APIF_Import!$I$1,Podesavanja!$AA$3:$AD$28, 4, 0), 0))</f>
        <v/>
      </c>
      <c r="J369" s="230" t="str">
        <f ca="1">IF( ISNA( VLOOKUP( APIF_Import!$O369 &amp; APIF_Import!$J$1,Podesavanja!$AA$3:$AD$28, 4, 0)), "", VLOOKUP( APIF_Import!$C369, INDIRECT( "Lookup_" &amp; APIF_Import!$M369:$O369), VLOOKUP( APIF_Import!$O369 &amp; APIF_Import!$J$1,Podesavanja!$AA$3:$AD$28, 4, 0), 0))</f>
        <v/>
      </c>
      <c r="K369" s="230" t="str">
        <f ca="1">IF( ISNA( VLOOKUP( APIF_Import!$O369 &amp; APIF_Import!$K$1,Podesavanja!$AA$3:$AD$28, 4, 0)), "", VLOOKUP( APIF_Import!$C369, INDIRECT( "Lookup_" &amp; APIF_Import!$M369:$O369), VLOOKUP( APIF_Import!$O369 &amp; APIF_Import!$K$1,Podesavanja!$AA$3:$AD$28, 4, 0), 0))</f>
        <v/>
      </c>
      <c r="L369" s="230" t="str">
        <f ca="1">IF( ISNA( VLOOKUP( APIF_Import!$O369 &amp; APIF_Import!$L$1,Podesavanja!$AA$3:$AD$28, 4, 0)), "", VLOOKUP( APIF_Import!$C369, INDIRECT( "Lookup_" &amp; APIF_Import!$M369:$O369), VLOOKUP( APIF_Import!$O369 &amp; APIF_Import!$L$1,Podesavanja!$AA$3:$AD$28, 4, 0), 0))</f>
        <v/>
      </c>
      <c r="M369" s="230" t="str">
        <f ca="1">IF( ISNA( VLOOKUP( APIF_Import!$O369 &amp; APIF_Import!$M$1,Podesavanja!$AA$3:$AD$28, 4, 0)), "", VLOOKUP( APIF_Import!$C369, INDIRECT( "Lookup_" &amp; APIF_Import!$M369:$O369), VLOOKUP( APIF_Import!$O369 &amp; APIF_Import!$M$1,Podesavanja!$AA$3:$AD$28, 4, 0), 0))</f>
        <v/>
      </c>
      <c r="N369" s="8">
        <v>370</v>
      </c>
      <c r="O369" s="8" t="s">
        <v>1538</v>
      </c>
    </row>
    <row r="370" spans="2:15">
      <c r="B370" s="44">
        <f ca="1">VLOOKUP( APIF_Import!$O370, Podesavanja!$N$3:$Q$9, 4, 0)</f>
        <v>4</v>
      </c>
      <c r="C370" s="229">
        <f ca="1">VLOOKUP( APIF_Import!$N370, Aop!$A$2:$P$456, 4, 0)</f>
        <v>620</v>
      </c>
      <c r="D370" s="230" t="str">
        <f ca="1">IF( ISNA( VLOOKUP( APIF_Import!$O370 &amp; APIF_Import!$D$1,Podesavanja!$AA$3:$AD$28, 4, 0)), "", SUBSTITUTE( VALUE( VLOOKUP( APIF_Import!$C370, INDIRECT( "Lookup_" &amp; APIF_Import!$O370), VLOOKUP( APIF_Import!$O370 &amp; APIF_Import!$D$1,Podesavanja!$AA$3:$AD$28, 4, 0), 0)), ".", ","))</f>
        <v>0</v>
      </c>
      <c r="E370" s="230">
        <f ca="1">IF( ISNA( VLOOKUP( APIF_Import!$O370 &amp; APIF_Import!$E$1,Podesavanja!$AA$3:$AD$28, 4, 0)), "", VLOOKUP( APIF_Import!$C370, INDIRECT( "Lookup_" &amp; APIF_Import!$O370), VLOOKUP( APIF_Import!$O370 &amp; APIF_Import!$E$1,Podesavanja!$AA$3:$AD$28, 4, 0), 0))</f>
        <v>0</v>
      </c>
      <c r="F370" s="230" t="str">
        <f ca="1">IF( ISNA( VLOOKUP( APIF_Import!$O370 &amp; APIF_Import!$F$1,Podesavanja!$AA$3:$AD$28, 4, 0)), "", VLOOKUP( APIF_Import!$C370, INDIRECT( "Lookup_" &amp; APIF_Import!$O370), VLOOKUP( APIF_Import!$O370 &amp; APIF_Import!$F$1,Podesavanja!$AA$3:$AD$28, 4, 0), 0))</f>
        <v/>
      </c>
      <c r="G370" s="230" t="str">
        <f ca="1">IF( ISNA( VLOOKUP( APIF_Import!$O370 &amp; APIF_Import!$G$1,Podesavanja!$AA$3:$AD$28, 4, 0)), "", VLOOKUP( APIF_Import!$C370, INDIRECT( "Lookup_" &amp; APIF_Import!$O370), VLOOKUP( APIF_Import!$O370 &amp; APIF_Import!$G$1,Podesavanja!$AA$3:$AD$28, 4, 0), 0))</f>
        <v/>
      </c>
      <c r="H370" s="230" t="str">
        <f ca="1">IF( ISNA( VLOOKUP( APIF_Import!$O370 &amp; APIF_Import!$H$1,Podesavanja!$AA$3:$AD$28, 4, 0)), "", VLOOKUP( APIF_Import!$C370, INDIRECT( "Lookup_" &amp; APIF_Import!$O370), VLOOKUP( APIF_Import!$O370 &amp; APIF_Import!$H$1,Podesavanja!$AA$3:$AD$28, 4, 0), 0))</f>
        <v/>
      </c>
      <c r="I370" s="230" t="str">
        <f ca="1">IF( ISNA( VLOOKUP( APIF_Import!$O370 &amp; APIF_Import!$I$1,Podesavanja!$AA$3:$AD$28, 4, 0)), "", VLOOKUP( APIF_Import!$C370, INDIRECT( "Lookup_" &amp; APIF_Import!$M370:$O370), VLOOKUP( APIF_Import!$O370 &amp; APIF_Import!$I$1,Podesavanja!$AA$3:$AD$28, 4, 0), 0))</f>
        <v/>
      </c>
      <c r="J370" s="230" t="str">
        <f ca="1">IF( ISNA( VLOOKUP( APIF_Import!$O370 &amp; APIF_Import!$J$1,Podesavanja!$AA$3:$AD$28, 4, 0)), "", VLOOKUP( APIF_Import!$C370, INDIRECT( "Lookup_" &amp; APIF_Import!$M370:$O370), VLOOKUP( APIF_Import!$O370 &amp; APIF_Import!$J$1,Podesavanja!$AA$3:$AD$28, 4, 0), 0))</f>
        <v/>
      </c>
      <c r="K370" s="230" t="str">
        <f ca="1">IF( ISNA( VLOOKUP( APIF_Import!$O370 &amp; APIF_Import!$K$1,Podesavanja!$AA$3:$AD$28, 4, 0)), "", VLOOKUP( APIF_Import!$C370, INDIRECT( "Lookup_" &amp; APIF_Import!$M370:$O370), VLOOKUP( APIF_Import!$O370 &amp; APIF_Import!$K$1,Podesavanja!$AA$3:$AD$28, 4, 0), 0))</f>
        <v/>
      </c>
      <c r="L370" s="230" t="str">
        <f ca="1">IF( ISNA( VLOOKUP( APIF_Import!$O370 &amp; APIF_Import!$L$1,Podesavanja!$AA$3:$AD$28, 4, 0)), "", VLOOKUP( APIF_Import!$C370, INDIRECT( "Lookup_" &amp; APIF_Import!$M370:$O370), VLOOKUP( APIF_Import!$O370 &amp; APIF_Import!$L$1,Podesavanja!$AA$3:$AD$28, 4, 0), 0))</f>
        <v/>
      </c>
      <c r="M370" s="230" t="str">
        <f ca="1">IF( ISNA( VLOOKUP( APIF_Import!$O370 &amp; APIF_Import!$M$1,Podesavanja!$AA$3:$AD$28, 4, 0)), "", VLOOKUP( APIF_Import!$C370, INDIRECT( "Lookup_" &amp; APIF_Import!$M370:$O370), VLOOKUP( APIF_Import!$O370 &amp; APIF_Import!$M$1,Podesavanja!$AA$3:$AD$28, 4, 0), 0))</f>
        <v/>
      </c>
      <c r="N370" s="8">
        <v>371</v>
      </c>
      <c r="O370" s="8" t="s">
        <v>1538</v>
      </c>
    </row>
    <row r="371" spans="2:15">
      <c r="B371" s="44">
        <f ca="1">VLOOKUP( APIF_Import!$O371, Podesavanja!$N$3:$Q$9, 4, 0)</f>
        <v>4</v>
      </c>
      <c r="C371" s="229">
        <f ca="1">VLOOKUP( APIF_Import!$N371, Aop!$A$2:$P$456, 4, 0)</f>
        <v>621</v>
      </c>
      <c r="D371" s="230" t="str">
        <f ca="1">IF( ISNA( VLOOKUP( APIF_Import!$O371 &amp; APIF_Import!$D$1,Podesavanja!$AA$3:$AD$28, 4, 0)), "", SUBSTITUTE( VALUE( VLOOKUP( APIF_Import!$C371, INDIRECT( "Lookup_" &amp; APIF_Import!$O371), VLOOKUP( APIF_Import!$O371 &amp; APIF_Import!$D$1,Podesavanja!$AA$3:$AD$28, 4, 0), 0)), ".", ","))</f>
        <v>0</v>
      </c>
      <c r="E371" s="230">
        <f ca="1">IF( ISNA( VLOOKUP( APIF_Import!$O371 &amp; APIF_Import!$E$1,Podesavanja!$AA$3:$AD$28, 4, 0)), "", VLOOKUP( APIF_Import!$C371, INDIRECT( "Lookup_" &amp; APIF_Import!$O371), VLOOKUP( APIF_Import!$O371 &amp; APIF_Import!$E$1,Podesavanja!$AA$3:$AD$28, 4, 0), 0))</f>
        <v>0</v>
      </c>
      <c r="F371" s="230" t="str">
        <f ca="1">IF( ISNA( VLOOKUP( APIF_Import!$O371 &amp; APIF_Import!$F$1,Podesavanja!$AA$3:$AD$28, 4, 0)), "", VLOOKUP( APIF_Import!$C371, INDIRECT( "Lookup_" &amp; APIF_Import!$O371), VLOOKUP( APIF_Import!$O371 &amp; APIF_Import!$F$1,Podesavanja!$AA$3:$AD$28, 4, 0), 0))</f>
        <v/>
      </c>
      <c r="G371" s="230" t="str">
        <f ca="1">IF( ISNA( VLOOKUP( APIF_Import!$O371 &amp; APIF_Import!$G$1,Podesavanja!$AA$3:$AD$28, 4, 0)), "", VLOOKUP( APIF_Import!$C371, INDIRECT( "Lookup_" &amp; APIF_Import!$O371), VLOOKUP( APIF_Import!$O371 &amp; APIF_Import!$G$1,Podesavanja!$AA$3:$AD$28, 4, 0), 0))</f>
        <v/>
      </c>
      <c r="H371" s="230" t="str">
        <f ca="1">IF( ISNA( VLOOKUP( APIF_Import!$O371 &amp; APIF_Import!$H$1,Podesavanja!$AA$3:$AD$28, 4, 0)), "", VLOOKUP( APIF_Import!$C371, INDIRECT( "Lookup_" &amp; APIF_Import!$O371), VLOOKUP( APIF_Import!$O371 &amp; APIF_Import!$H$1,Podesavanja!$AA$3:$AD$28, 4, 0), 0))</f>
        <v/>
      </c>
      <c r="I371" s="230" t="str">
        <f ca="1">IF( ISNA( VLOOKUP( APIF_Import!$O371 &amp; APIF_Import!$I$1,Podesavanja!$AA$3:$AD$28, 4, 0)), "", VLOOKUP( APIF_Import!$C371, INDIRECT( "Lookup_" &amp; APIF_Import!$M371:$O371), VLOOKUP( APIF_Import!$O371 &amp; APIF_Import!$I$1,Podesavanja!$AA$3:$AD$28, 4, 0), 0))</f>
        <v/>
      </c>
      <c r="J371" s="230" t="str">
        <f ca="1">IF( ISNA( VLOOKUP( APIF_Import!$O371 &amp; APIF_Import!$J$1,Podesavanja!$AA$3:$AD$28, 4, 0)), "", VLOOKUP( APIF_Import!$C371, INDIRECT( "Lookup_" &amp; APIF_Import!$M371:$O371), VLOOKUP( APIF_Import!$O371 &amp; APIF_Import!$J$1,Podesavanja!$AA$3:$AD$28, 4, 0), 0))</f>
        <v/>
      </c>
      <c r="K371" s="230" t="str">
        <f ca="1">IF( ISNA( VLOOKUP( APIF_Import!$O371 &amp; APIF_Import!$K$1,Podesavanja!$AA$3:$AD$28, 4, 0)), "", VLOOKUP( APIF_Import!$C371, INDIRECT( "Lookup_" &amp; APIF_Import!$M371:$O371), VLOOKUP( APIF_Import!$O371 &amp; APIF_Import!$K$1,Podesavanja!$AA$3:$AD$28, 4, 0), 0))</f>
        <v/>
      </c>
      <c r="L371" s="230" t="str">
        <f ca="1">IF( ISNA( VLOOKUP( APIF_Import!$O371 &amp; APIF_Import!$L$1,Podesavanja!$AA$3:$AD$28, 4, 0)), "", VLOOKUP( APIF_Import!$C371, INDIRECT( "Lookup_" &amp; APIF_Import!$M371:$O371), VLOOKUP( APIF_Import!$O371 &amp; APIF_Import!$L$1,Podesavanja!$AA$3:$AD$28, 4, 0), 0))</f>
        <v/>
      </c>
      <c r="M371" s="230" t="str">
        <f ca="1">IF( ISNA( VLOOKUP( APIF_Import!$O371 &amp; APIF_Import!$M$1,Podesavanja!$AA$3:$AD$28, 4, 0)), "", VLOOKUP( APIF_Import!$C371, INDIRECT( "Lookup_" &amp; APIF_Import!$M371:$O371), VLOOKUP( APIF_Import!$O371 &amp; APIF_Import!$M$1,Podesavanja!$AA$3:$AD$28, 4, 0), 0))</f>
        <v/>
      </c>
      <c r="N371" s="8">
        <v>372</v>
      </c>
      <c r="O371" s="8" t="s">
        <v>1538</v>
      </c>
    </row>
    <row r="372" spans="2:15">
      <c r="B372" s="44">
        <f ca="1">VLOOKUP( APIF_Import!$O372, Podesavanja!$N$3:$Q$9, 4, 0)</f>
        <v>4</v>
      </c>
      <c r="C372" s="229">
        <f ca="1">VLOOKUP( APIF_Import!$N372, Aop!$A$2:$P$456, 4, 0)</f>
        <v>622</v>
      </c>
      <c r="D372" s="230" t="str">
        <f ca="1">IF( ISNA( VLOOKUP( APIF_Import!$O372 &amp; APIF_Import!$D$1,Podesavanja!$AA$3:$AD$28, 4, 0)), "", SUBSTITUTE( VALUE( VLOOKUP( APIF_Import!$C372, INDIRECT( "Lookup_" &amp; APIF_Import!$O372), VLOOKUP( APIF_Import!$O372 &amp; APIF_Import!$D$1,Podesavanja!$AA$3:$AD$28, 4, 0), 0)), ".", ","))</f>
        <v>0</v>
      </c>
      <c r="E372" s="230">
        <f ca="1">IF( ISNA( VLOOKUP( APIF_Import!$O372 &amp; APIF_Import!$E$1,Podesavanja!$AA$3:$AD$28, 4, 0)), "", VLOOKUP( APIF_Import!$C372, INDIRECT( "Lookup_" &amp; APIF_Import!$O372), VLOOKUP( APIF_Import!$O372 &amp; APIF_Import!$E$1,Podesavanja!$AA$3:$AD$28, 4, 0), 0))</f>
        <v>0</v>
      </c>
      <c r="F372" s="230" t="str">
        <f ca="1">IF( ISNA( VLOOKUP( APIF_Import!$O372 &amp; APIF_Import!$F$1,Podesavanja!$AA$3:$AD$28, 4, 0)), "", VLOOKUP( APIF_Import!$C372, INDIRECT( "Lookup_" &amp; APIF_Import!$O372), VLOOKUP( APIF_Import!$O372 &amp; APIF_Import!$F$1,Podesavanja!$AA$3:$AD$28, 4, 0), 0))</f>
        <v/>
      </c>
      <c r="G372" s="230" t="str">
        <f ca="1">IF( ISNA( VLOOKUP( APIF_Import!$O372 &amp; APIF_Import!$G$1,Podesavanja!$AA$3:$AD$28, 4, 0)), "", VLOOKUP( APIF_Import!$C372, INDIRECT( "Lookup_" &amp; APIF_Import!$O372), VLOOKUP( APIF_Import!$O372 &amp; APIF_Import!$G$1,Podesavanja!$AA$3:$AD$28, 4, 0), 0))</f>
        <v/>
      </c>
      <c r="H372" s="230" t="str">
        <f ca="1">IF( ISNA( VLOOKUP( APIF_Import!$O372 &amp; APIF_Import!$H$1,Podesavanja!$AA$3:$AD$28, 4, 0)), "", VLOOKUP( APIF_Import!$C372, INDIRECT( "Lookup_" &amp; APIF_Import!$O372), VLOOKUP( APIF_Import!$O372 &amp; APIF_Import!$H$1,Podesavanja!$AA$3:$AD$28, 4, 0), 0))</f>
        <v/>
      </c>
      <c r="I372" s="230" t="str">
        <f ca="1">IF( ISNA( VLOOKUP( APIF_Import!$O372 &amp; APIF_Import!$I$1,Podesavanja!$AA$3:$AD$28, 4, 0)), "", VLOOKUP( APIF_Import!$C372, INDIRECT( "Lookup_" &amp; APIF_Import!$M372:$O372), VLOOKUP( APIF_Import!$O372 &amp; APIF_Import!$I$1,Podesavanja!$AA$3:$AD$28, 4, 0), 0))</f>
        <v/>
      </c>
      <c r="J372" s="230" t="str">
        <f ca="1">IF( ISNA( VLOOKUP( APIF_Import!$O372 &amp; APIF_Import!$J$1,Podesavanja!$AA$3:$AD$28, 4, 0)), "", VLOOKUP( APIF_Import!$C372, INDIRECT( "Lookup_" &amp; APIF_Import!$M372:$O372), VLOOKUP( APIF_Import!$O372 &amp; APIF_Import!$J$1,Podesavanja!$AA$3:$AD$28, 4, 0), 0))</f>
        <v/>
      </c>
      <c r="K372" s="230" t="str">
        <f ca="1">IF( ISNA( VLOOKUP( APIF_Import!$O372 &amp; APIF_Import!$K$1,Podesavanja!$AA$3:$AD$28, 4, 0)), "", VLOOKUP( APIF_Import!$C372, INDIRECT( "Lookup_" &amp; APIF_Import!$M372:$O372), VLOOKUP( APIF_Import!$O372 &amp; APIF_Import!$K$1,Podesavanja!$AA$3:$AD$28, 4, 0), 0))</f>
        <v/>
      </c>
      <c r="L372" s="230" t="str">
        <f ca="1">IF( ISNA( VLOOKUP( APIF_Import!$O372 &amp; APIF_Import!$L$1,Podesavanja!$AA$3:$AD$28, 4, 0)), "", VLOOKUP( APIF_Import!$C372, INDIRECT( "Lookup_" &amp; APIF_Import!$M372:$O372), VLOOKUP( APIF_Import!$O372 &amp; APIF_Import!$L$1,Podesavanja!$AA$3:$AD$28, 4, 0), 0))</f>
        <v/>
      </c>
      <c r="M372" s="230" t="str">
        <f ca="1">IF( ISNA( VLOOKUP( APIF_Import!$O372 &amp; APIF_Import!$M$1,Podesavanja!$AA$3:$AD$28, 4, 0)), "", VLOOKUP( APIF_Import!$C372, INDIRECT( "Lookup_" &amp; APIF_Import!$M372:$O372), VLOOKUP( APIF_Import!$O372 &amp; APIF_Import!$M$1,Podesavanja!$AA$3:$AD$28, 4, 0), 0))</f>
        <v/>
      </c>
      <c r="N372" s="8">
        <v>373</v>
      </c>
      <c r="O372" s="8" t="s">
        <v>1538</v>
      </c>
    </row>
    <row r="373" spans="2:15">
      <c r="B373" s="44">
        <f ca="1">VLOOKUP( APIF_Import!$O373, Podesavanja!$N$3:$Q$9, 4, 0)</f>
        <v>4</v>
      </c>
      <c r="C373" s="229">
        <f ca="1">VLOOKUP( APIF_Import!$N373, Aop!$A$2:$P$456, 4, 0)</f>
        <v>623</v>
      </c>
      <c r="D373" s="230" t="str">
        <f ca="1">IF( ISNA( VLOOKUP( APIF_Import!$O373 &amp; APIF_Import!$D$1,Podesavanja!$AA$3:$AD$28, 4, 0)), "", SUBSTITUTE( VALUE( VLOOKUP( APIF_Import!$C373, INDIRECT( "Lookup_" &amp; APIF_Import!$O373), VLOOKUP( APIF_Import!$O373 &amp; APIF_Import!$D$1,Podesavanja!$AA$3:$AD$28, 4, 0), 0)), ".", ","))</f>
        <v>16691</v>
      </c>
      <c r="E373" s="230">
        <f ca="1">IF( ISNA( VLOOKUP( APIF_Import!$O373 &amp; APIF_Import!$E$1,Podesavanja!$AA$3:$AD$28, 4, 0)), "", VLOOKUP( APIF_Import!$C373, INDIRECT( "Lookup_" &amp; APIF_Import!$O373), VLOOKUP( APIF_Import!$O373 &amp; APIF_Import!$E$1,Podesavanja!$AA$3:$AD$28, 4, 0), 0))</f>
        <v>16158</v>
      </c>
      <c r="F373" s="230" t="str">
        <f ca="1">IF( ISNA( VLOOKUP( APIF_Import!$O373 &amp; APIF_Import!$F$1,Podesavanja!$AA$3:$AD$28, 4, 0)), "", VLOOKUP( APIF_Import!$C373, INDIRECT( "Lookup_" &amp; APIF_Import!$O373), VLOOKUP( APIF_Import!$O373 &amp; APIF_Import!$F$1,Podesavanja!$AA$3:$AD$28, 4, 0), 0))</f>
        <v/>
      </c>
      <c r="G373" s="230" t="str">
        <f ca="1">IF( ISNA( VLOOKUP( APIF_Import!$O373 &amp; APIF_Import!$G$1,Podesavanja!$AA$3:$AD$28, 4, 0)), "", VLOOKUP( APIF_Import!$C373, INDIRECT( "Lookup_" &amp; APIF_Import!$O373), VLOOKUP( APIF_Import!$O373 &amp; APIF_Import!$G$1,Podesavanja!$AA$3:$AD$28, 4, 0), 0))</f>
        <v/>
      </c>
      <c r="H373" s="230" t="str">
        <f ca="1">IF( ISNA( VLOOKUP( APIF_Import!$O373 &amp; APIF_Import!$H$1,Podesavanja!$AA$3:$AD$28, 4, 0)), "", VLOOKUP( APIF_Import!$C373, INDIRECT( "Lookup_" &amp; APIF_Import!$O373), VLOOKUP( APIF_Import!$O373 &amp; APIF_Import!$H$1,Podesavanja!$AA$3:$AD$28, 4, 0), 0))</f>
        <v/>
      </c>
      <c r="I373" s="230" t="str">
        <f ca="1">IF( ISNA( VLOOKUP( APIF_Import!$O373 &amp; APIF_Import!$I$1,Podesavanja!$AA$3:$AD$28, 4, 0)), "", VLOOKUP( APIF_Import!$C373, INDIRECT( "Lookup_" &amp; APIF_Import!$M373:$O373), VLOOKUP( APIF_Import!$O373 &amp; APIF_Import!$I$1,Podesavanja!$AA$3:$AD$28, 4, 0), 0))</f>
        <v/>
      </c>
      <c r="J373" s="230" t="str">
        <f ca="1">IF( ISNA( VLOOKUP( APIF_Import!$O373 &amp; APIF_Import!$J$1,Podesavanja!$AA$3:$AD$28, 4, 0)), "", VLOOKUP( APIF_Import!$C373, INDIRECT( "Lookup_" &amp; APIF_Import!$M373:$O373), VLOOKUP( APIF_Import!$O373 &amp; APIF_Import!$J$1,Podesavanja!$AA$3:$AD$28, 4, 0), 0))</f>
        <v/>
      </c>
      <c r="K373" s="230" t="str">
        <f ca="1">IF( ISNA( VLOOKUP( APIF_Import!$O373 &amp; APIF_Import!$K$1,Podesavanja!$AA$3:$AD$28, 4, 0)), "", VLOOKUP( APIF_Import!$C373, INDIRECT( "Lookup_" &amp; APIF_Import!$M373:$O373), VLOOKUP( APIF_Import!$O373 &amp; APIF_Import!$K$1,Podesavanja!$AA$3:$AD$28, 4, 0), 0))</f>
        <v/>
      </c>
      <c r="L373" s="230" t="str">
        <f ca="1">IF( ISNA( VLOOKUP( APIF_Import!$O373 &amp; APIF_Import!$L$1,Podesavanja!$AA$3:$AD$28, 4, 0)), "", VLOOKUP( APIF_Import!$C373, INDIRECT( "Lookup_" &amp; APIF_Import!$M373:$O373), VLOOKUP( APIF_Import!$O373 &amp; APIF_Import!$L$1,Podesavanja!$AA$3:$AD$28, 4, 0), 0))</f>
        <v/>
      </c>
      <c r="M373" s="230" t="str">
        <f ca="1">IF( ISNA( VLOOKUP( APIF_Import!$O373 &amp; APIF_Import!$M$1,Podesavanja!$AA$3:$AD$28, 4, 0)), "", VLOOKUP( APIF_Import!$C373, INDIRECT( "Lookup_" &amp; APIF_Import!$M373:$O373), VLOOKUP( APIF_Import!$O373 &amp; APIF_Import!$M$1,Podesavanja!$AA$3:$AD$28, 4, 0), 0))</f>
        <v/>
      </c>
      <c r="N373" s="8">
        <v>374</v>
      </c>
      <c r="O373" s="8" t="s">
        <v>1538</v>
      </c>
    </row>
    <row r="374" spans="2:15">
      <c r="B374" s="44">
        <f ca="1">VLOOKUP( APIF_Import!$O374, Podesavanja!$N$3:$Q$9, 4, 0)</f>
        <v>4</v>
      </c>
      <c r="C374" s="229">
        <f ca="1">VLOOKUP( APIF_Import!$N374, Aop!$A$2:$P$456, 4, 0)</f>
        <v>624</v>
      </c>
      <c r="D374" s="230" t="str">
        <f ca="1">IF( ISNA( VLOOKUP( APIF_Import!$O374 &amp; APIF_Import!$D$1,Podesavanja!$AA$3:$AD$28, 4, 0)), "", SUBSTITUTE( VALUE( VLOOKUP( APIF_Import!$C374, INDIRECT( "Lookup_" &amp; APIF_Import!$O374), VLOOKUP( APIF_Import!$O374 &amp; APIF_Import!$D$1,Podesavanja!$AA$3:$AD$28, 4, 0), 0)), ".", ","))</f>
        <v>0</v>
      </c>
      <c r="E374" s="230">
        <f ca="1">IF( ISNA( VLOOKUP( APIF_Import!$O374 &amp; APIF_Import!$E$1,Podesavanja!$AA$3:$AD$28, 4, 0)), "", VLOOKUP( APIF_Import!$C374, INDIRECT( "Lookup_" &amp; APIF_Import!$O374), VLOOKUP( APIF_Import!$O374 &amp; APIF_Import!$E$1,Podesavanja!$AA$3:$AD$28, 4, 0), 0))</f>
        <v>0</v>
      </c>
      <c r="F374" s="230" t="str">
        <f ca="1">IF( ISNA( VLOOKUP( APIF_Import!$O374 &amp; APIF_Import!$F$1,Podesavanja!$AA$3:$AD$28, 4, 0)), "", VLOOKUP( APIF_Import!$C374, INDIRECT( "Lookup_" &amp; APIF_Import!$O374), VLOOKUP( APIF_Import!$O374 &amp; APIF_Import!$F$1,Podesavanja!$AA$3:$AD$28, 4, 0), 0))</f>
        <v/>
      </c>
      <c r="G374" s="230" t="str">
        <f ca="1">IF( ISNA( VLOOKUP( APIF_Import!$O374 &amp; APIF_Import!$G$1,Podesavanja!$AA$3:$AD$28, 4, 0)), "", VLOOKUP( APIF_Import!$C374, INDIRECT( "Lookup_" &amp; APIF_Import!$O374), VLOOKUP( APIF_Import!$O374 &amp; APIF_Import!$G$1,Podesavanja!$AA$3:$AD$28, 4, 0), 0))</f>
        <v/>
      </c>
      <c r="H374" s="230" t="str">
        <f ca="1">IF( ISNA( VLOOKUP( APIF_Import!$O374 &amp; APIF_Import!$H$1,Podesavanja!$AA$3:$AD$28, 4, 0)), "", VLOOKUP( APIF_Import!$C374, INDIRECT( "Lookup_" &amp; APIF_Import!$O374), VLOOKUP( APIF_Import!$O374 &amp; APIF_Import!$H$1,Podesavanja!$AA$3:$AD$28, 4, 0), 0))</f>
        <v/>
      </c>
      <c r="I374" s="230" t="str">
        <f ca="1">IF( ISNA( VLOOKUP( APIF_Import!$O374 &amp; APIF_Import!$I$1,Podesavanja!$AA$3:$AD$28, 4, 0)), "", VLOOKUP( APIF_Import!$C374, INDIRECT( "Lookup_" &amp; APIF_Import!$M374:$O374), VLOOKUP( APIF_Import!$O374 &amp; APIF_Import!$I$1,Podesavanja!$AA$3:$AD$28, 4, 0), 0))</f>
        <v/>
      </c>
      <c r="J374" s="230" t="str">
        <f ca="1">IF( ISNA( VLOOKUP( APIF_Import!$O374 &amp; APIF_Import!$J$1,Podesavanja!$AA$3:$AD$28, 4, 0)), "", VLOOKUP( APIF_Import!$C374, INDIRECT( "Lookup_" &amp; APIF_Import!$M374:$O374), VLOOKUP( APIF_Import!$O374 &amp; APIF_Import!$J$1,Podesavanja!$AA$3:$AD$28, 4, 0), 0))</f>
        <v/>
      </c>
      <c r="K374" s="230" t="str">
        <f ca="1">IF( ISNA( VLOOKUP( APIF_Import!$O374 &amp; APIF_Import!$K$1,Podesavanja!$AA$3:$AD$28, 4, 0)), "", VLOOKUP( APIF_Import!$C374, INDIRECT( "Lookup_" &amp; APIF_Import!$M374:$O374), VLOOKUP( APIF_Import!$O374 &amp; APIF_Import!$K$1,Podesavanja!$AA$3:$AD$28, 4, 0), 0))</f>
        <v/>
      </c>
      <c r="L374" s="230" t="str">
        <f ca="1">IF( ISNA( VLOOKUP( APIF_Import!$O374 &amp; APIF_Import!$L$1,Podesavanja!$AA$3:$AD$28, 4, 0)), "", VLOOKUP( APIF_Import!$C374, INDIRECT( "Lookup_" &amp; APIF_Import!$M374:$O374), VLOOKUP( APIF_Import!$O374 &amp; APIF_Import!$L$1,Podesavanja!$AA$3:$AD$28, 4, 0), 0))</f>
        <v/>
      </c>
      <c r="M374" s="230" t="str">
        <f ca="1">IF( ISNA( VLOOKUP( APIF_Import!$O374 &amp; APIF_Import!$M$1,Podesavanja!$AA$3:$AD$28, 4, 0)), "", VLOOKUP( APIF_Import!$C374, INDIRECT( "Lookup_" &amp; APIF_Import!$M374:$O374), VLOOKUP( APIF_Import!$O374 &amp; APIF_Import!$M$1,Podesavanja!$AA$3:$AD$28, 4, 0), 0))</f>
        <v/>
      </c>
      <c r="N374" s="8">
        <v>375</v>
      </c>
      <c r="O374" s="8" t="s">
        <v>1538</v>
      </c>
    </row>
    <row r="375" spans="2:15">
      <c r="B375" s="44">
        <f ca="1">VLOOKUP( APIF_Import!$O375, Podesavanja!$N$3:$Q$9, 4, 0)</f>
        <v>4</v>
      </c>
      <c r="C375" s="229">
        <f ca="1">VLOOKUP( APIF_Import!$N375, Aop!$A$2:$P$456, 4, 0)</f>
        <v>625</v>
      </c>
      <c r="D375" s="230" t="str">
        <f ca="1">IF( ISNA( VLOOKUP( APIF_Import!$O375 &amp; APIF_Import!$D$1,Podesavanja!$AA$3:$AD$28, 4, 0)), "", SUBSTITUTE( VALUE( VLOOKUP( APIF_Import!$C375, INDIRECT( "Lookup_" &amp; APIF_Import!$O375), VLOOKUP( APIF_Import!$O375 &amp; APIF_Import!$D$1,Podesavanja!$AA$3:$AD$28, 4, 0), 0)), ".", ","))</f>
        <v>0</v>
      </c>
      <c r="E375" s="230">
        <f ca="1">IF( ISNA( VLOOKUP( APIF_Import!$O375 &amp; APIF_Import!$E$1,Podesavanja!$AA$3:$AD$28, 4, 0)), "", VLOOKUP( APIF_Import!$C375, INDIRECT( "Lookup_" &amp; APIF_Import!$O375), VLOOKUP( APIF_Import!$O375 &amp; APIF_Import!$E$1,Podesavanja!$AA$3:$AD$28, 4, 0), 0))</f>
        <v>0</v>
      </c>
      <c r="F375" s="230" t="str">
        <f ca="1">IF( ISNA( VLOOKUP( APIF_Import!$O375 &amp; APIF_Import!$F$1,Podesavanja!$AA$3:$AD$28, 4, 0)), "", VLOOKUP( APIF_Import!$C375, INDIRECT( "Lookup_" &amp; APIF_Import!$O375), VLOOKUP( APIF_Import!$O375 &amp; APIF_Import!$F$1,Podesavanja!$AA$3:$AD$28, 4, 0), 0))</f>
        <v/>
      </c>
      <c r="G375" s="230" t="str">
        <f ca="1">IF( ISNA( VLOOKUP( APIF_Import!$O375 &amp; APIF_Import!$G$1,Podesavanja!$AA$3:$AD$28, 4, 0)), "", VLOOKUP( APIF_Import!$C375, INDIRECT( "Lookup_" &amp; APIF_Import!$O375), VLOOKUP( APIF_Import!$O375 &amp; APIF_Import!$G$1,Podesavanja!$AA$3:$AD$28, 4, 0), 0))</f>
        <v/>
      </c>
      <c r="H375" s="230" t="str">
        <f ca="1">IF( ISNA( VLOOKUP( APIF_Import!$O375 &amp; APIF_Import!$H$1,Podesavanja!$AA$3:$AD$28, 4, 0)), "", VLOOKUP( APIF_Import!$C375, INDIRECT( "Lookup_" &amp; APIF_Import!$O375), VLOOKUP( APIF_Import!$O375 &amp; APIF_Import!$H$1,Podesavanja!$AA$3:$AD$28, 4, 0), 0))</f>
        <v/>
      </c>
      <c r="I375" s="230" t="str">
        <f ca="1">IF( ISNA( VLOOKUP( APIF_Import!$O375 &amp; APIF_Import!$I$1,Podesavanja!$AA$3:$AD$28, 4, 0)), "", VLOOKUP( APIF_Import!$C375, INDIRECT( "Lookup_" &amp; APIF_Import!$M375:$O375), VLOOKUP( APIF_Import!$O375 &amp; APIF_Import!$I$1,Podesavanja!$AA$3:$AD$28, 4, 0), 0))</f>
        <v/>
      </c>
      <c r="J375" s="230" t="str">
        <f ca="1">IF( ISNA( VLOOKUP( APIF_Import!$O375 &amp; APIF_Import!$J$1,Podesavanja!$AA$3:$AD$28, 4, 0)), "", VLOOKUP( APIF_Import!$C375, INDIRECT( "Lookup_" &amp; APIF_Import!$M375:$O375), VLOOKUP( APIF_Import!$O375 &amp; APIF_Import!$J$1,Podesavanja!$AA$3:$AD$28, 4, 0), 0))</f>
        <v/>
      </c>
      <c r="K375" s="230" t="str">
        <f ca="1">IF( ISNA( VLOOKUP( APIF_Import!$O375 &amp; APIF_Import!$K$1,Podesavanja!$AA$3:$AD$28, 4, 0)), "", VLOOKUP( APIF_Import!$C375, INDIRECT( "Lookup_" &amp; APIF_Import!$M375:$O375), VLOOKUP( APIF_Import!$O375 &amp; APIF_Import!$K$1,Podesavanja!$AA$3:$AD$28, 4, 0), 0))</f>
        <v/>
      </c>
      <c r="L375" s="230" t="str">
        <f ca="1">IF( ISNA( VLOOKUP( APIF_Import!$O375 &amp; APIF_Import!$L$1,Podesavanja!$AA$3:$AD$28, 4, 0)), "", VLOOKUP( APIF_Import!$C375, INDIRECT( "Lookup_" &amp; APIF_Import!$M375:$O375), VLOOKUP( APIF_Import!$O375 &amp; APIF_Import!$L$1,Podesavanja!$AA$3:$AD$28, 4, 0), 0))</f>
        <v/>
      </c>
      <c r="M375" s="230" t="str">
        <f ca="1">IF( ISNA( VLOOKUP( APIF_Import!$O375 &amp; APIF_Import!$M$1,Podesavanja!$AA$3:$AD$28, 4, 0)), "", VLOOKUP( APIF_Import!$C375, INDIRECT( "Lookup_" &amp; APIF_Import!$M375:$O375), VLOOKUP( APIF_Import!$O375 &amp; APIF_Import!$M$1,Podesavanja!$AA$3:$AD$28, 4, 0), 0))</f>
        <v/>
      </c>
      <c r="N375" s="8">
        <v>376</v>
      </c>
      <c r="O375" s="8" t="s">
        <v>1538</v>
      </c>
    </row>
    <row r="376" spans="2:15">
      <c r="B376" s="44">
        <f ca="1">VLOOKUP( APIF_Import!$O376, Podesavanja!$N$3:$Q$9, 4, 0)</f>
        <v>4</v>
      </c>
      <c r="C376" s="229">
        <f ca="1">VLOOKUP( APIF_Import!$N376, Aop!$A$2:$P$456, 4, 0)</f>
        <v>626</v>
      </c>
      <c r="D376" s="230" t="str">
        <f ca="1">IF( ISNA( VLOOKUP( APIF_Import!$O376 &amp; APIF_Import!$D$1,Podesavanja!$AA$3:$AD$28, 4, 0)), "", SUBSTITUTE( VALUE( VLOOKUP( APIF_Import!$C376, INDIRECT( "Lookup_" &amp; APIF_Import!$O376), VLOOKUP( APIF_Import!$O376 &amp; APIF_Import!$D$1,Podesavanja!$AA$3:$AD$28, 4, 0), 0)), ".", ","))</f>
        <v>0</v>
      </c>
      <c r="E376" s="230">
        <f ca="1">IF( ISNA( VLOOKUP( APIF_Import!$O376 &amp; APIF_Import!$E$1,Podesavanja!$AA$3:$AD$28, 4, 0)), "", VLOOKUP( APIF_Import!$C376, INDIRECT( "Lookup_" &amp; APIF_Import!$O376), VLOOKUP( APIF_Import!$O376 &amp; APIF_Import!$E$1,Podesavanja!$AA$3:$AD$28, 4, 0), 0))</f>
        <v>0</v>
      </c>
      <c r="F376" s="230" t="str">
        <f ca="1">IF( ISNA( VLOOKUP( APIF_Import!$O376 &amp; APIF_Import!$F$1,Podesavanja!$AA$3:$AD$28, 4, 0)), "", VLOOKUP( APIF_Import!$C376, INDIRECT( "Lookup_" &amp; APIF_Import!$O376), VLOOKUP( APIF_Import!$O376 &amp; APIF_Import!$F$1,Podesavanja!$AA$3:$AD$28, 4, 0), 0))</f>
        <v/>
      </c>
      <c r="G376" s="230" t="str">
        <f ca="1">IF( ISNA( VLOOKUP( APIF_Import!$O376 &amp; APIF_Import!$G$1,Podesavanja!$AA$3:$AD$28, 4, 0)), "", VLOOKUP( APIF_Import!$C376, INDIRECT( "Lookup_" &amp; APIF_Import!$O376), VLOOKUP( APIF_Import!$O376 &amp; APIF_Import!$G$1,Podesavanja!$AA$3:$AD$28, 4, 0), 0))</f>
        <v/>
      </c>
      <c r="H376" s="230" t="str">
        <f ca="1">IF( ISNA( VLOOKUP( APIF_Import!$O376 &amp; APIF_Import!$H$1,Podesavanja!$AA$3:$AD$28, 4, 0)), "", VLOOKUP( APIF_Import!$C376, INDIRECT( "Lookup_" &amp; APIF_Import!$O376), VLOOKUP( APIF_Import!$O376 &amp; APIF_Import!$H$1,Podesavanja!$AA$3:$AD$28, 4, 0), 0))</f>
        <v/>
      </c>
      <c r="I376" s="230" t="str">
        <f ca="1">IF( ISNA( VLOOKUP( APIF_Import!$O376 &amp; APIF_Import!$I$1,Podesavanja!$AA$3:$AD$28, 4, 0)), "", VLOOKUP( APIF_Import!$C376, INDIRECT( "Lookup_" &amp; APIF_Import!$M376:$O376), VLOOKUP( APIF_Import!$O376 &amp; APIF_Import!$I$1,Podesavanja!$AA$3:$AD$28, 4, 0), 0))</f>
        <v/>
      </c>
      <c r="J376" s="230" t="str">
        <f ca="1">IF( ISNA( VLOOKUP( APIF_Import!$O376 &amp; APIF_Import!$J$1,Podesavanja!$AA$3:$AD$28, 4, 0)), "", VLOOKUP( APIF_Import!$C376, INDIRECT( "Lookup_" &amp; APIF_Import!$M376:$O376), VLOOKUP( APIF_Import!$O376 &amp; APIF_Import!$J$1,Podesavanja!$AA$3:$AD$28, 4, 0), 0))</f>
        <v/>
      </c>
      <c r="K376" s="230" t="str">
        <f ca="1">IF( ISNA( VLOOKUP( APIF_Import!$O376 &amp; APIF_Import!$K$1,Podesavanja!$AA$3:$AD$28, 4, 0)), "", VLOOKUP( APIF_Import!$C376, INDIRECT( "Lookup_" &amp; APIF_Import!$M376:$O376), VLOOKUP( APIF_Import!$O376 &amp; APIF_Import!$K$1,Podesavanja!$AA$3:$AD$28, 4, 0), 0))</f>
        <v/>
      </c>
      <c r="L376" s="230" t="str">
        <f ca="1">IF( ISNA( VLOOKUP( APIF_Import!$O376 &amp; APIF_Import!$L$1,Podesavanja!$AA$3:$AD$28, 4, 0)), "", VLOOKUP( APIF_Import!$C376, INDIRECT( "Lookup_" &amp; APIF_Import!$M376:$O376), VLOOKUP( APIF_Import!$O376 &amp; APIF_Import!$L$1,Podesavanja!$AA$3:$AD$28, 4, 0), 0))</f>
        <v/>
      </c>
      <c r="M376" s="230" t="str">
        <f ca="1">IF( ISNA( VLOOKUP( APIF_Import!$O376 &amp; APIF_Import!$M$1,Podesavanja!$AA$3:$AD$28, 4, 0)), "", VLOOKUP( APIF_Import!$C376, INDIRECT( "Lookup_" &amp; APIF_Import!$M376:$O376), VLOOKUP( APIF_Import!$O376 &amp; APIF_Import!$M$1,Podesavanja!$AA$3:$AD$28, 4, 0), 0))</f>
        <v/>
      </c>
      <c r="N376" s="8">
        <v>377</v>
      </c>
      <c r="O376" s="8" t="s">
        <v>1538</v>
      </c>
    </row>
    <row r="377" spans="2:15">
      <c r="B377" s="44">
        <f ca="1">VLOOKUP( APIF_Import!$O377, Podesavanja!$N$3:$Q$9, 4, 0)</f>
        <v>4</v>
      </c>
      <c r="C377" s="229">
        <f ca="1">VLOOKUP( APIF_Import!$N377, Aop!$A$2:$P$456, 4, 0)</f>
        <v>627</v>
      </c>
      <c r="D377" s="230" t="str">
        <f ca="1">IF( ISNA( VLOOKUP( APIF_Import!$O377 &amp; APIF_Import!$D$1,Podesavanja!$AA$3:$AD$28, 4, 0)), "", SUBSTITUTE( VALUE( VLOOKUP( APIF_Import!$C377, INDIRECT( "Lookup_" &amp; APIF_Import!$O377), VLOOKUP( APIF_Import!$O377 &amp; APIF_Import!$D$1,Podesavanja!$AA$3:$AD$28, 4, 0), 0)), ".", ","))</f>
        <v>16762</v>
      </c>
      <c r="E377" s="230">
        <f ca="1">IF( ISNA( VLOOKUP( APIF_Import!$O377 &amp; APIF_Import!$E$1,Podesavanja!$AA$3:$AD$28, 4, 0)), "", VLOOKUP( APIF_Import!$C377, INDIRECT( "Lookup_" &amp; APIF_Import!$O377), VLOOKUP( APIF_Import!$O377 &amp; APIF_Import!$E$1,Podesavanja!$AA$3:$AD$28, 4, 0), 0))</f>
        <v>11802</v>
      </c>
      <c r="F377" s="230" t="str">
        <f ca="1">IF( ISNA( VLOOKUP( APIF_Import!$O377 &amp; APIF_Import!$F$1,Podesavanja!$AA$3:$AD$28, 4, 0)), "", VLOOKUP( APIF_Import!$C377, INDIRECT( "Lookup_" &amp; APIF_Import!$O377), VLOOKUP( APIF_Import!$O377 &amp; APIF_Import!$F$1,Podesavanja!$AA$3:$AD$28, 4, 0), 0))</f>
        <v/>
      </c>
      <c r="G377" s="230" t="str">
        <f ca="1">IF( ISNA( VLOOKUP( APIF_Import!$O377 &amp; APIF_Import!$G$1,Podesavanja!$AA$3:$AD$28, 4, 0)), "", VLOOKUP( APIF_Import!$C377, INDIRECT( "Lookup_" &amp; APIF_Import!$O377), VLOOKUP( APIF_Import!$O377 &amp; APIF_Import!$G$1,Podesavanja!$AA$3:$AD$28, 4, 0), 0))</f>
        <v/>
      </c>
      <c r="H377" s="230" t="str">
        <f ca="1">IF( ISNA( VLOOKUP( APIF_Import!$O377 &amp; APIF_Import!$H$1,Podesavanja!$AA$3:$AD$28, 4, 0)), "", VLOOKUP( APIF_Import!$C377, INDIRECT( "Lookup_" &amp; APIF_Import!$O377), VLOOKUP( APIF_Import!$O377 &amp; APIF_Import!$H$1,Podesavanja!$AA$3:$AD$28, 4, 0), 0))</f>
        <v/>
      </c>
      <c r="I377" s="230" t="str">
        <f ca="1">IF( ISNA( VLOOKUP( APIF_Import!$O377 &amp; APIF_Import!$I$1,Podesavanja!$AA$3:$AD$28, 4, 0)), "", VLOOKUP( APIF_Import!$C377, INDIRECT( "Lookup_" &amp; APIF_Import!$M377:$O377), VLOOKUP( APIF_Import!$O377 &amp; APIF_Import!$I$1,Podesavanja!$AA$3:$AD$28, 4, 0), 0))</f>
        <v/>
      </c>
      <c r="J377" s="230" t="str">
        <f ca="1">IF( ISNA( VLOOKUP( APIF_Import!$O377 &amp; APIF_Import!$J$1,Podesavanja!$AA$3:$AD$28, 4, 0)), "", VLOOKUP( APIF_Import!$C377, INDIRECT( "Lookup_" &amp; APIF_Import!$M377:$O377), VLOOKUP( APIF_Import!$O377 &amp; APIF_Import!$J$1,Podesavanja!$AA$3:$AD$28, 4, 0), 0))</f>
        <v/>
      </c>
      <c r="K377" s="230" t="str">
        <f ca="1">IF( ISNA( VLOOKUP( APIF_Import!$O377 &amp; APIF_Import!$K$1,Podesavanja!$AA$3:$AD$28, 4, 0)), "", VLOOKUP( APIF_Import!$C377, INDIRECT( "Lookup_" &amp; APIF_Import!$M377:$O377), VLOOKUP( APIF_Import!$O377 &amp; APIF_Import!$K$1,Podesavanja!$AA$3:$AD$28, 4, 0), 0))</f>
        <v/>
      </c>
      <c r="L377" s="230" t="str">
        <f ca="1">IF( ISNA( VLOOKUP( APIF_Import!$O377 &amp; APIF_Import!$L$1,Podesavanja!$AA$3:$AD$28, 4, 0)), "", VLOOKUP( APIF_Import!$C377, INDIRECT( "Lookup_" &amp; APIF_Import!$M377:$O377), VLOOKUP( APIF_Import!$O377 &amp; APIF_Import!$L$1,Podesavanja!$AA$3:$AD$28, 4, 0), 0))</f>
        <v/>
      </c>
      <c r="M377" s="230" t="str">
        <f ca="1">IF( ISNA( VLOOKUP( APIF_Import!$O377 &amp; APIF_Import!$M$1,Podesavanja!$AA$3:$AD$28, 4, 0)), "", VLOOKUP( APIF_Import!$C377, INDIRECT( "Lookup_" &amp; APIF_Import!$M377:$O377), VLOOKUP( APIF_Import!$O377 &amp; APIF_Import!$M$1,Podesavanja!$AA$3:$AD$28, 4, 0), 0))</f>
        <v/>
      </c>
      <c r="N377" s="8">
        <v>378</v>
      </c>
      <c r="O377" s="8" t="s">
        <v>1538</v>
      </c>
    </row>
    <row r="378" spans="2:15">
      <c r="B378" s="44">
        <f ca="1">VLOOKUP( APIF_Import!$O378, Podesavanja!$N$3:$Q$9, 4, 0)</f>
        <v>4</v>
      </c>
      <c r="C378" s="229">
        <f ca="1">VLOOKUP( APIF_Import!$N378, Aop!$A$2:$P$456, 4, 0)</f>
        <v>628</v>
      </c>
      <c r="D378" s="230" t="str">
        <f ca="1">IF( ISNA( VLOOKUP( APIF_Import!$O378 &amp; APIF_Import!$D$1,Podesavanja!$AA$3:$AD$28, 4, 0)), "", SUBSTITUTE( VALUE( VLOOKUP( APIF_Import!$C378, INDIRECT( "Lookup_" &amp; APIF_Import!$O378), VLOOKUP( APIF_Import!$O378 &amp; APIF_Import!$D$1,Podesavanja!$AA$3:$AD$28, 4, 0), 0)), ".", ","))</f>
        <v>155</v>
      </c>
      <c r="E378" s="230">
        <f ca="1">IF( ISNA( VLOOKUP( APIF_Import!$O378 &amp; APIF_Import!$E$1,Podesavanja!$AA$3:$AD$28, 4, 0)), "", VLOOKUP( APIF_Import!$C378, INDIRECT( "Lookup_" &amp; APIF_Import!$O378), VLOOKUP( APIF_Import!$O378 &amp; APIF_Import!$E$1,Podesavanja!$AA$3:$AD$28, 4, 0), 0))</f>
        <v>0</v>
      </c>
      <c r="F378" s="230" t="str">
        <f ca="1">IF( ISNA( VLOOKUP( APIF_Import!$O378 &amp; APIF_Import!$F$1,Podesavanja!$AA$3:$AD$28, 4, 0)), "", VLOOKUP( APIF_Import!$C378, INDIRECT( "Lookup_" &amp; APIF_Import!$O378), VLOOKUP( APIF_Import!$O378 &amp; APIF_Import!$F$1,Podesavanja!$AA$3:$AD$28, 4, 0), 0))</f>
        <v/>
      </c>
      <c r="G378" s="230" t="str">
        <f ca="1">IF( ISNA( VLOOKUP( APIF_Import!$O378 &amp; APIF_Import!$G$1,Podesavanja!$AA$3:$AD$28, 4, 0)), "", VLOOKUP( APIF_Import!$C378, INDIRECT( "Lookup_" &amp; APIF_Import!$O378), VLOOKUP( APIF_Import!$O378 &amp; APIF_Import!$G$1,Podesavanja!$AA$3:$AD$28, 4, 0), 0))</f>
        <v/>
      </c>
      <c r="H378" s="230" t="str">
        <f ca="1">IF( ISNA( VLOOKUP( APIF_Import!$O378 &amp; APIF_Import!$H$1,Podesavanja!$AA$3:$AD$28, 4, 0)), "", VLOOKUP( APIF_Import!$C378, INDIRECT( "Lookup_" &amp; APIF_Import!$O378), VLOOKUP( APIF_Import!$O378 &amp; APIF_Import!$H$1,Podesavanja!$AA$3:$AD$28, 4, 0), 0))</f>
        <v/>
      </c>
      <c r="I378" s="230" t="str">
        <f ca="1">IF( ISNA( VLOOKUP( APIF_Import!$O378 &amp; APIF_Import!$I$1,Podesavanja!$AA$3:$AD$28, 4, 0)), "", VLOOKUP( APIF_Import!$C378, INDIRECT( "Lookup_" &amp; APIF_Import!$M378:$O378), VLOOKUP( APIF_Import!$O378 &amp; APIF_Import!$I$1,Podesavanja!$AA$3:$AD$28, 4, 0), 0))</f>
        <v/>
      </c>
      <c r="J378" s="230" t="str">
        <f ca="1">IF( ISNA( VLOOKUP( APIF_Import!$O378 &amp; APIF_Import!$J$1,Podesavanja!$AA$3:$AD$28, 4, 0)), "", VLOOKUP( APIF_Import!$C378, INDIRECT( "Lookup_" &amp; APIF_Import!$M378:$O378), VLOOKUP( APIF_Import!$O378 &amp; APIF_Import!$J$1,Podesavanja!$AA$3:$AD$28, 4, 0), 0))</f>
        <v/>
      </c>
      <c r="K378" s="230" t="str">
        <f ca="1">IF( ISNA( VLOOKUP( APIF_Import!$O378 &amp; APIF_Import!$K$1,Podesavanja!$AA$3:$AD$28, 4, 0)), "", VLOOKUP( APIF_Import!$C378, INDIRECT( "Lookup_" &amp; APIF_Import!$M378:$O378), VLOOKUP( APIF_Import!$O378 &amp; APIF_Import!$K$1,Podesavanja!$AA$3:$AD$28, 4, 0), 0))</f>
        <v/>
      </c>
      <c r="L378" s="230" t="str">
        <f ca="1">IF( ISNA( VLOOKUP( APIF_Import!$O378 &amp; APIF_Import!$L$1,Podesavanja!$AA$3:$AD$28, 4, 0)), "", VLOOKUP( APIF_Import!$C378, INDIRECT( "Lookup_" &amp; APIF_Import!$M378:$O378), VLOOKUP( APIF_Import!$O378 &amp; APIF_Import!$L$1,Podesavanja!$AA$3:$AD$28, 4, 0), 0))</f>
        <v/>
      </c>
      <c r="M378" s="230" t="str">
        <f ca="1">IF( ISNA( VLOOKUP( APIF_Import!$O378 &amp; APIF_Import!$M$1,Podesavanja!$AA$3:$AD$28, 4, 0)), "", VLOOKUP( APIF_Import!$C378, INDIRECT( "Lookup_" &amp; APIF_Import!$M378:$O378), VLOOKUP( APIF_Import!$O378 &amp; APIF_Import!$M$1,Podesavanja!$AA$3:$AD$28, 4, 0), 0))</f>
        <v/>
      </c>
      <c r="N378" s="8">
        <v>379</v>
      </c>
      <c r="O378" s="8" t="s">
        <v>1538</v>
      </c>
    </row>
    <row r="379" spans="2:15">
      <c r="B379" s="44">
        <f ca="1">VLOOKUP( APIF_Import!$O379, Podesavanja!$N$3:$Q$9, 4, 0)</f>
        <v>4</v>
      </c>
      <c r="C379" s="229">
        <f ca="1">VLOOKUP( APIF_Import!$N379, Aop!$A$2:$P$456, 4, 0)</f>
        <v>629</v>
      </c>
      <c r="D379" s="230" t="str">
        <f ca="1">IF( ISNA( VLOOKUP( APIF_Import!$O379 &amp; APIF_Import!$D$1,Podesavanja!$AA$3:$AD$28, 4, 0)), "", SUBSTITUTE( VALUE( VLOOKUP( APIF_Import!$C379, INDIRECT( "Lookup_" &amp; APIF_Import!$O379), VLOOKUP( APIF_Import!$O379 &amp; APIF_Import!$D$1,Podesavanja!$AA$3:$AD$28, 4, 0), 0)), ".", ","))</f>
        <v>4968</v>
      </c>
      <c r="E379" s="230">
        <f ca="1">IF( ISNA( VLOOKUP( APIF_Import!$O379 &amp; APIF_Import!$E$1,Podesavanja!$AA$3:$AD$28, 4, 0)), "", VLOOKUP( APIF_Import!$C379, INDIRECT( "Lookup_" &amp; APIF_Import!$O379), VLOOKUP( APIF_Import!$O379 &amp; APIF_Import!$E$1,Podesavanja!$AA$3:$AD$28, 4, 0), 0))</f>
        <v>537296</v>
      </c>
      <c r="F379" s="230" t="str">
        <f ca="1">IF( ISNA( VLOOKUP( APIF_Import!$O379 &amp; APIF_Import!$F$1,Podesavanja!$AA$3:$AD$28, 4, 0)), "", VLOOKUP( APIF_Import!$C379, INDIRECT( "Lookup_" &amp; APIF_Import!$O379), VLOOKUP( APIF_Import!$O379 &amp; APIF_Import!$F$1,Podesavanja!$AA$3:$AD$28, 4, 0), 0))</f>
        <v/>
      </c>
      <c r="G379" s="230" t="str">
        <f ca="1">IF( ISNA( VLOOKUP( APIF_Import!$O379 &amp; APIF_Import!$G$1,Podesavanja!$AA$3:$AD$28, 4, 0)), "", VLOOKUP( APIF_Import!$C379, INDIRECT( "Lookup_" &amp; APIF_Import!$O379), VLOOKUP( APIF_Import!$O379 &amp; APIF_Import!$G$1,Podesavanja!$AA$3:$AD$28, 4, 0), 0))</f>
        <v/>
      </c>
      <c r="H379" s="230" t="str">
        <f ca="1">IF( ISNA( VLOOKUP( APIF_Import!$O379 &amp; APIF_Import!$H$1,Podesavanja!$AA$3:$AD$28, 4, 0)), "", VLOOKUP( APIF_Import!$C379, INDIRECT( "Lookup_" &amp; APIF_Import!$O379), VLOOKUP( APIF_Import!$O379 &amp; APIF_Import!$H$1,Podesavanja!$AA$3:$AD$28, 4, 0), 0))</f>
        <v/>
      </c>
      <c r="I379" s="230" t="str">
        <f ca="1">IF( ISNA( VLOOKUP( APIF_Import!$O379 &amp; APIF_Import!$I$1,Podesavanja!$AA$3:$AD$28, 4, 0)), "", VLOOKUP( APIF_Import!$C379, INDIRECT( "Lookup_" &amp; APIF_Import!$M379:$O379), VLOOKUP( APIF_Import!$O379 &amp; APIF_Import!$I$1,Podesavanja!$AA$3:$AD$28, 4, 0), 0))</f>
        <v/>
      </c>
      <c r="J379" s="230" t="str">
        <f ca="1">IF( ISNA( VLOOKUP( APIF_Import!$O379 &amp; APIF_Import!$J$1,Podesavanja!$AA$3:$AD$28, 4, 0)), "", VLOOKUP( APIF_Import!$C379, INDIRECT( "Lookup_" &amp; APIF_Import!$M379:$O379), VLOOKUP( APIF_Import!$O379 &amp; APIF_Import!$J$1,Podesavanja!$AA$3:$AD$28, 4, 0), 0))</f>
        <v/>
      </c>
      <c r="K379" s="230" t="str">
        <f ca="1">IF( ISNA( VLOOKUP( APIF_Import!$O379 &amp; APIF_Import!$K$1,Podesavanja!$AA$3:$AD$28, 4, 0)), "", VLOOKUP( APIF_Import!$C379, INDIRECT( "Lookup_" &amp; APIF_Import!$M379:$O379), VLOOKUP( APIF_Import!$O379 &amp; APIF_Import!$K$1,Podesavanja!$AA$3:$AD$28, 4, 0), 0))</f>
        <v/>
      </c>
      <c r="L379" s="230" t="str">
        <f ca="1">IF( ISNA( VLOOKUP( APIF_Import!$O379 &amp; APIF_Import!$L$1,Podesavanja!$AA$3:$AD$28, 4, 0)), "", VLOOKUP( APIF_Import!$C379, INDIRECT( "Lookup_" &amp; APIF_Import!$M379:$O379), VLOOKUP( APIF_Import!$O379 &amp; APIF_Import!$L$1,Podesavanja!$AA$3:$AD$28, 4, 0), 0))</f>
        <v/>
      </c>
      <c r="M379" s="230" t="str">
        <f ca="1">IF( ISNA( VLOOKUP( APIF_Import!$O379 &amp; APIF_Import!$M$1,Podesavanja!$AA$3:$AD$28, 4, 0)), "", VLOOKUP( APIF_Import!$C379, INDIRECT( "Lookup_" &amp; APIF_Import!$M379:$O379), VLOOKUP( APIF_Import!$O379 &amp; APIF_Import!$M$1,Podesavanja!$AA$3:$AD$28, 4, 0), 0))</f>
        <v/>
      </c>
      <c r="N379" s="8">
        <v>380</v>
      </c>
      <c r="O379" s="8" t="s">
        <v>1538</v>
      </c>
    </row>
    <row r="380" spans="2:15">
      <c r="B380" s="44">
        <f ca="1">VLOOKUP( APIF_Import!$O380, Podesavanja!$N$3:$Q$9, 4, 0)</f>
        <v>4</v>
      </c>
      <c r="C380" s="229">
        <f ca="1">VLOOKUP( APIF_Import!$N380, Aop!$A$2:$P$456, 4, 0)</f>
        <v>630</v>
      </c>
      <c r="D380" s="230" t="str">
        <f ca="1">IF( ISNA( VLOOKUP( APIF_Import!$O380 &amp; APIF_Import!$D$1,Podesavanja!$AA$3:$AD$28, 4, 0)), "", SUBSTITUTE( VALUE( VLOOKUP( APIF_Import!$C380, INDIRECT( "Lookup_" &amp; APIF_Import!$O380), VLOOKUP( APIF_Import!$O380 &amp; APIF_Import!$D$1,Podesavanja!$AA$3:$AD$28, 4, 0), 0)), ".", ","))</f>
        <v>17085001</v>
      </c>
      <c r="E380" s="230">
        <f ca="1">IF( ISNA( VLOOKUP( APIF_Import!$O380 &amp; APIF_Import!$E$1,Podesavanja!$AA$3:$AD$28, 4, 0)), "", VLOOKUP( APIF_Import!$C380, INDIRECT( "Lookup_" &amp; APIF_Import!$O380), VLOOKUP( APIF_Import!$O380 &amp; APIF_Import!$E$1,Podesavanja!$AA$3:$AD$28, 4, 0), 0))</f>
        <v>500000</v>
      </c>
      <c r="F380" s="230" t="str">
        <f ca="1">IF( ISNA( VLOOKUP( APIF_Import!$O380 &amp; APIF_Import!$F$1,Podesavanja!$AA$3:$AD$28, 4, 0)), "", VLOOKUP( APIF_Import!$C380, INDIRECT( "Lookup_" &amp; APIF_Import!$O380), VLOOKUP( APIF_Import!$O380 &amp; APIF_Import!$F$1,Podesavanja!$AA$3:$AD$28, 4, 0), 0))</f>
        <v/>
      </c>
      <c r="G380" s="230" t="str">
        <f ca="1">IF( ISNA( VLOOKUP( APIF_Import!$O380 &amp; APIF_Import!$G$1,Podesavanja!$AA$3:$AD$28, 4, 0)), "", VLOOKUP( APIF_Import!$C380, INDIRECT( "Lookup_" &amp; APIF_Import!$O380), VLOOKUP( APIF_Import!$O380 &amp; APIF_Import!$G$1,Podesavanja!$AA$3:$AD$28, 4, 0), 0))</f>
        <v/>
      </c>
      <c r="H380" s="230" t="str">
        <f ca="1">IF( ISNA( VLOOKUP( APIF_Import!$O380 &amp; APIF_Import!$H$1,Podesavanja!$AA$3:$AD$28, 4, 0)), "", VLOOKUP( APIF_Import!$C380, INDIRECT( "Lookup_" &amp; APIF_Import!$O380), VLOOKUP( APIF_Import!$O380 &amp; APIF_Import!$H$1,Podesavanja!$AA$3:$AD$28, 4, 0), 0))</f>
        <v/>
      </c>
      <c r="I380" s="230" t="str">
        <f ca="1">IF( ISNA( VLOOKUP( APIF_Import!$O380 &amp; APIF_Import!$I$1,Podesavanja!$AA$3:$AD$28, 4, 0)), "", VLOOKUP( APIF_Import!$C380, INDIRECT( "Lookup_" &amp; APIF_Import!$M380:$O380), VLOOKUP( APIF_Import!$O380 &amp; APIF_Import!$I$1,Podesavanja!$AA$3:$AD$28, 4, 0), 0))</f>
        <v/>
      </c>
      <c r="J380" s="230" t="str">
        <f ca="1">IF( ISNA( VLOOKUP( APIF_Import!$O380 &amp; APIF_Import!$J$1,Podesavanja!$AA$3:$AD$28, 4, 0)), "", VLOOKUP( APIF_Import!$C380, INDIRECT( "Lookup_" &amp; APIF_Import!$M380:$O380), VLOOKUP( APIF_Import!$O380 &amp; APIF_Import!$J$1,Podesavanja!$AA$3:$AD$28, 4, 0), 0))</f>
        <v/>
      </c>
      <c r="K380" s="230" t="str">
        <f ca="1">IF( ISNA( VLOOKUP( APIF_Import!$O380 &amp; APIF_Import!$K$1,Podesavanja!$AA$3:$AD$28, 4, 0)), "", VLOOKUP( APIF_Import!$C380, INDIRECT( "Lookup_" &amp; APIF_Import!$M380:$O380), VLOOKUP( APIF_Import!$O380 &amp; APIF_Import!$K$1,Podesavanja!$AA$3:$AD$28, 4, 0), 0))</f>
        <v/>
      </c>
      <c r="L380" s="230" t="str">
        <f ca="1">IF( ISNA( VLOOKUP( APIF_Import!$O380 &amp; APIF_Import!$L$1,Podesavanja!$AA$3:$AD$28, 4, 0)), "", VLOOKUP( APIF_Import!$C380, INDIRECT( "Lookup_" &amp; APIF_Import!$M380:$O380), VLOOKUP( APIF_Import!$O380 &amp; APIF_Import!$L$1,Podesavanja!$AA$3:$AD$28, 4, 0), 0))</f>
        <v/>
      </c>
      <c r="M380" s="230" t="str">
        <f ca="1">IF( ISNA( VLOOKUP( APIF_Import!$O380 &amp; APIF_Import!$M$1,Podesavanja!$AA$3:$AD$28, 4, 0)), "", VLOOKUP( APIF_Import!$C380, INDIRECT( "Lookup_" &amp; APIF_Import!$M380:$O380), VLOOKUP( APIF_Import!$O380 &amp; APIF_Import!$M$1,Podesavanja!$AA$3:$AD$28, 4, 0), 0))</f>
        <v/>
      </c>
      <c r="N380" s="8">
        <v>381</v>
      </c>
      <c r="O380" s="8" t="s">
        <v>1538</v>
      </c>
    </row>
    <row r="381" spans="2:15">
      <c r="B381" s="44">
        <f ca="1">VLOOKUP( APIF_Import!$O381, Podesavanja!$N$3:$Q$9, 4, 0)</f>
        <v>4</v>
      </c>
      <c r="C381" s="229">
        <f ca="1">VLOOKUP( APIF_Import!$N381, Aop!$A$2:$P$456, 4, 0)</f>
        <v>631</v>
      </c>
      <c r="D381" s="230" t="str">
        <f ca="1">IF( ISNA( VLOOKUP( APIF_Import!$O381 &amp; APIF_Import!$D$1,Podesavanja!$AA$3:$AD$28, 4, 0)), "", SUBSTITUTE( VALUE( VLOOKUP( APIF_Import!$C381, INDIRECT( "Lookup_" &amp; APIF_Import!$O381), VLOOKUP( APIF_Import!$O381 &amp; APIF_Import!$D$1,Podesavanja!$AA$3:$AD$28, 4, 0), 0)), ".", ","))</f>
        <v>11450</v>
      </c>
      <c r="E381" s="230">
        <f ca="1">IF( ISNA( VLOOKUP( APIF_Import!$O381 &amp; APIF_Import!$E$1,Podesavanja!$AA$3:$AD$28, 4, 0)), "", VLOOKUP( APIF_Import!$C381, INDIRECT( "Lookup_" &amp; APIF_Import!$O381), VLOOKUP( APIF_Import!$O381 &amp; APIF_Import!$E$1,Podesavanja!$AA$3:$AD$28, 4, 0), 0))</f>
        <v>0</v>
      </c>
      <c r="F381" s="230" t="str">
        <f ca="1">IF( ISNA( VLOOKUP( APIF_Import!$O381 &amp; APIF_Import!$F$1,Podesavanja!$AA$3:$AD$28, 4, 0)), "", VLOOKUP( APIF_Import!$C381, INDIRECT( "Lookup_" &amp; APIF_Import!$O381), VLOOKUP( APIF_Import!$O381 &amp; APIF_Import!$F$1,Podesavanja!$AA$3:$AD$28, 4, 0), 0))</f>
        <v/>
      </c>
      <c r="G381" s="230" t="str">
        <f ca="1">IF( ISNA( VLOOKUP( APIF_Import!$O381 &amp; APIF_Import!$G$1,Podesavanja!$AA$3:$AD$28, 4, 0)), "", VLOOKUP( APIF_Import!$C381, INDIRECT( "Lookup_" &amp; APIF_Import!$O381), VLOOKUP( APIF_Import!$O381 &amp; APIF_Import!$G$1,Podesavanja!$AA$3:$AD$28, 4, 0), 0))</f>
        <v/>
      </c>
      <c r="H381" s="230" t="str">
        <f ca="1">IF( ISNA( VLOOKUP( APIF_Import!$O381 &amp; APIF_Import!$H$1,Podesavanja!$AA$3:$AD$28, 4, 0)), "", VLOOKUP( APIF_Import!$C381, INDIRECT( "Lookup_" &amp; APIF_Import!$O381), VLOOKUP( APIF_Import!$O381 &amp; APIF_Import!$H$1,Podesavanja!$AA$3:$AD$28, 4, 0), 0))</f>
        <v/>
      </c>
      <c r="I381" s="230" t="str">
        <f ca="1">IF( ISNA( VLOOKUP( APIF_Import!$O381 &amp; APIF_Import!$I$1,Podesavanja!$AA$3:$AD$28, 4, 0)), "", VLOOKUP( APIF_Import!$C381, INDIRECT( "Lookup_" &amp; APIF_Import!$M381:$O381), VLOOKUP( APIF_Import!$O381 &amp; APIF_Import!$I$1,Podesavanja!$AA$3:$AD$28, 4, 0), 0))</f>
        <v/>
      </c>
      <c r="J381" s="230" t="str">
        <f ca="1">IF( ISNA( VLOOKUP( APIF_Import!$O381 &amp; APIF_Import!$J$1,Podesavanja!$AA$3:$AD$28, 4, 0)), "", VLOOKUP( APIF_Import!$C381, INDIRECT( "Lookup_" &amp; APIF_Import!$M381:$O381), VLOOKUP( APIF_Import!$O381 &amp; APIF_Import!$J$1,Podesavanja!$AA$3:$AD$28, 4, 0), 0))</f>
        <v/>
      </c>
      <c r="K381" s="230" t="str">
        <f ca="1">IF( ISNA( VLOOKUP( APIF_Import!$O381 &amp; APIF_Import!$K$1,Podesavanja!$AA$3:$AD$28, 4, 0)), "", VLOOKUP( APIF_Import!$C381, INDIRECT( "Lookup_" &amp; APIF_Import!$M381:$O381), VLOOKUP( APIF_Import!$O381 &amp; APIF_Import!$K$1,Podesavanja!$AA$3:$AD$28, 4, 0), 0))</f>
        <v/>
      </c>
      <c r="L381" s="230" t="str">
        <f ca="1">IF( ISNA( VLOOKUP( APIF_Import!$O381 &amp; APIF_Import!$L$1,Podesavanja!$AA$3:$AD$28, 4, 0)), "", VLOOKUP( APIF_Import!$C381, INDIRECT( "Lookup_" &amp; APIF_Import!$M381:$O381), VLOOKUP( APIF_Import!$O381 &amp; APIF_Import!$L$1,Podesavanja!$AA$3:$AD$28, 4, 0), 0))</f>
        <v/>
      </c>
      <c r="M381" s="230" t="str">
        <f ca="1">IF( ISNA( VLOOKUP( APIF_Import!$O381 &amp; APIF_Import!$M$1,Podesavanja!$AA$3:$AD$28, 4, 0)), "", VLOOKUP( APIF_Import!$C381, INDIRECT( "Lookup_" &amp; APIF_Import!$M381:$O381), VLOOKUP( APIF_Import!$O381 &amp; APIF_Import!$M$1,Podesavanja!$AA$3:$AD$28, 4, 0), 0))</f>
        <v/>
      </c>
      <c r="N381" s="8">
        <v>382</v>
      </c>
      <c r="O381" s="8" t="s">
        <v>1538</v>
      </c>
    </row>
    <row r="382" spans="2:15">
      <c r="B382" s="44">
        <f ca="1">VLOOKUP( APIF_Import!$O382, Podesavanja!$N$3:$Q$9, 4, 0)</f>
        <v>4</v>
      </c>
      <c r="C382" s="229">
        <f ca="1">VLOOKUP( APIF_Import!$N382, Aop!$A$2:$P$456, 4, 0)</f>
        <v>632</v>
      </c>
      <c r="D382" s="230" t="str">
        <f ca="1">IF( ISNA( VLOOKUP( APIF_Import!$O382 &amp; APIF_Import!$D$1,Podesavanja!$AA$3:$AD$28, 4, 0)), "", SUBSTITUTE( VALUE( VLOOKUP( APIF_Import!$C382, INDIRECT( "Lookup_" &amp; APIF_Import!$O382), VLOOKUP( APIF_Import!$O382 &amp; APIF_Import!$D$1,Podesavanja!$AA$3:$AD$28, 4, 0), 0)), ".", ","))</f>
        <v>0</v>
      </c>
      <c r="E382" s="230">
        <f ca="1">IF( ISNA( VLOOKUP( APIF_Import!$O382 &amp; APIF_Import!$E$1,Podesavanja!$AA$3:$AD$28, 4, 0)), "", VLOOKUP( APIF_Import!$C382, INDIRECT( "Lookup_" &amp; APIF_Import!$O382), VLOOKUP( APIF_Import!$O382 &amp; APIF_Import!$E$1,Podesavanja!$AA$3:$AD$28, 4, 0), 0))</f>
        <v>0</v>
      </c>
      <c r="F382" s="230" t="str">
        <f ca="1">IF( ISNA( VLOOKUP( APIF_Import!$O382 &amp; APIF_Import!$F$1,Podesavanja!$AA$3:$AD$28, 4, 0)), "", VLOOKUP( APIF_Import!$C382, INDIRECT( "Lookup_" &amp; APIF_Import!$O382), VLOOKUP( APIF_Import!$O382 &amp; APIF_Import!$F$1,Podesavanja!$AA$3:$AD$28, 4, 0), 0))</f>
        <v/>
      </c>
      <c r="G382" s="230" t="str">
        <f ca="1">IF( ISNA( VLOOKUP( APIF_Import!$O382 &amp; APIF_Import!$G$1,Podesavanja!$AA$3:$AD$28, 4, 0)), "", VLOOKUP( APIF_Import!$C382, INDIRECT( "Lookup_" &amp; APIF_Import!$O382), VLOOKUP( APIF_Import!$O382 &amp; APIF_Import!$G$1,Podesavanja!$AA$3:$AD$28, 4, 0), 0))</f>
        <v/>
      </c>
      <c r="H382" s="230" t="str">
        <f ca="1">IF( ISNA( VLOOKUP( APIF_Import!$O382 &amp; APIF_Import!$H$1,Podesavanja!$AA$3:$AD$28, 4, 0)), "", VLOOKUP( APIF_Import!$C382, INDIRECT( "Lookup_" &amp; APIF_Import!$O382), VLOOKUP( APIF_Import!$O382 &amp; APIF_Import!$H$1,Podesavanja!$AA$3:$AD$28, 4, 0), 0))</f>
        <v/>
      </c>
      <c r="I382" s="230" t="str">
        <f ca="1">IF( ISNA( VLOOKUP( APIF_Import!$O382 &amp; APIF_Import!$I$1,Podesavanja!$AA$3:$AD$28, 4, 0)), "", VLOOKUP( APIF_Import!$C382, INDIRECT( "Lookup_" &amp; APIF_Import!$M382:$O382), VLOOKUP( APIF_Import!$O382 &amp; APIF_Import!$I$1,Podesavanja!$AA$3:$AD$28, 4, 0), 0))</f>
        <v/>
      </c>
      <c r="J382" s="230" t="str">
        <f ca="1">IF( ISNA( VLOOKUP( APIF_Import!$O382 &amp; APIF_Import!$J$1,Podesavanja!$AA$3:$AD$28, 4, 0)), "", VLOOKUP( APIF_Import!$C382, INDIRECT( "Lookup_" &amp; APIF_Import!$M382:$O382), VLOOKUP( APIF_Import!$O382 &amp; APIF_Import!$J$1,Podesavanja!$AA$3:$AD$28, 4, 0), 0))</f>
        <v/>
      </c>
      <c r="K382" s="230" t="str">
        <f ca="1">IF( ISNA( VLOOKUP( APIF_Import!$O382 &amp; APIF_Import!$K$1,Podesavanja!$AA$3:$AD$28, 4, 0)), "", VLOOKUP( APIF_Import!$C382, INDIRECT( "Lookup_" &amp; APIF_Import!$M382:$O382), VLOOKUP( APIF_Import!$O382 &amp; APIF_Import!$K$1,Podesavanja!$AA$3:$AD$28, 4, 0), 0))</f>
        <v/>
      </c>
      <c r="L382" s="230" t="str">
        <f ca="1">IF( ISNA( VLOOKUP( APIF_Import!$O382 &amp; APIF_Import!$L$1,Podesavanja!$AA$3:$AD$28, 4, 0)), "", VLOOKUP( APIF_Import!$C382, INDIRECT( "Lookup_" &amp; APIF_Import!$M382:$O382), VLOOKUP( APIF_Import!$O382 &amp; APIF_Import!$L$1,Podesavanja!$AA$3:$AD$28, 4, 0), 0))</f>
        <v/>
      </c>
      <c r="M382" s="230" t="str">
        <f ca="1">IF( ISNA( VLOOKUP( APIF_Import!$O382 &amp; APIF_Import!$M$1,Podesavanja!$AA$3:$AD$28, 4, 0)), "", VLOOKUP( APIF_Import!$C382, INDIRECT( "Lookup_" &amp; APIF_Import!$M382:$O382), VLOOKUP( APIF_Import!$O382 &amp; APIF_Import!$M$1,Podesavanja!$AA$3:$AD$28, 4, 0), 0))</f>
        <v/>
      </c>
      <c r="N382" s="8">
        <v>383</v>
      </c>
      <c r="O382" s="8" t="s">
        <v>1538</v>
      </c>
    </row>
    <row r="383" spans="2:15">
      <c r="B383" s="44">
        <f ca="1">VLOOKUP( APIF_Import!$O383, Podesavanja!$N$3:$Q$9, 4, 0)</f>
        <v>4</v>
      </c>
      <c r="C383" s="229">
        <f ca="1">VLOOKUP( APIF_Import!$N383, Aop!$A$2:$P$456, 4, 0)</f>
        <v>633</v>
      </c>
      <c r="D383" s="230" t="str">
        <f ca="1">IF( ISNA( VLOOKUP( APIF_Import!$O383 &amp; APIF_Import!$D$1,Podesavanja!$AA$3:$AD$28, 4, 0)), "", SUBSTITUTE( VALUE( VLOOKUP( APIF_Import!$C383, INDIRECT( "Lookup_" &amp; APIF_Import!$O383), VLOOKUP( APIF_Import!$O383 &amp; APIF_Import!$D$1,Podesavanja!$AA$3:$AD$28, 4, 0), 0)), ".", ","))</f>
        <v>68103</v>
      </c>
      <c r="E383" s="230">
        <f ca="1">IF( ISNA( VLOOKUP( APIF_Import!$O383 &amp; APIF_Import!$E$1,Podesavanja!$AA$3:$AD$28, 4, 0)), "", VLOOKUP( APIF_Import!$C383, INDIRECT( "Lookup_" &amp; APIF_Import!$O383), VLOOKUP( APIF_Import!$O383 &amp; APIF_Import!$E$1,Podesavanja!$AA$3:$AD$28, 4, 0), 0))</f>
        <v>10459</v>
      </c>
      <c r="F383" s="230" t="str">
        <f ca="1">IF( ISNA( VLOOKUP( APIF_Import!$O383 &amp; APIF_Import!$F$1,Podesavanja!$AA$3:$AD$28, 4, 0)), "", VLOOKUP( APIF_Import!$C383, INDIRECT( "Lookup_" &amp; APIF_Import!$O383), VLOOKUP( APIF_Import!$O383 &amp; APIF_Import!$F$1,Podesavanja!$AA$3:$AD$28, 4, 0), 0))</f>
        <v/>
      </c>
      <c r="G383" s="230" t="str">
        <f ca="1">IF( ISNA( VLOOKUP( APIF_Import!$O383 &amp; APIF_Import!$G$1,Podesavanja!$AA$3:$AD$28, 4, 0)), "", VLOOKUP( APIF_Import!$C383, INDIRECT( "Lookup_" &amp; APIF_Import!$O383), VLOOKUP( APIF_Import!$O383 &amp; APIF_Import!$G$1,Podesavanja!$AA$3:$AD$28, 4, 0), 0))</f>
        <v/>
      </c>
      <c r="H383" s="230" t="str">
        <f ca="1">IF( ISNA( VLOOKUP( APIF_Import!$O383 &amp; APIF_Import!$H$1,Podesavanja!$AA$3:$AD$28, 4, 0)), "", VLOOKUP( APIF_Import!$C383, INDIRECT( "Lookup_" &amp; APIF_Import!$O383), VLOOKUP( APIF_Import!$O383 &amp; APIF_Import!$H$1,Podesavanja!$AA$3:$AD$28, 4, 0), 0))</f>
        <v/>
      </c>
      <c r="I383" s="230" t="str">
        <f ca="1">IF( ISNA( VLOOKUP( APIF_Import!$O383 &amp; APIF_Import!$I$1,Podesavanja!$AA$3:$AD$28, 4, 0)), "", VLOOKUP( APIF_Import!$C383, INDIRECT( "Lookup_" &amp; APIF_Import!$M383:$O383), VLOOKUP( APIF_Import!$O383 &amp; APIF_Import!$I$1,Podesavanja!$AA$3:$AD$28, 4, 0), 0))</f>
        <v/>
      </c>
      <c r="J383" s="230" t="str">
        <f ca="1">IF( ISNA( VLOOKUP( APIF_Import!$O383 &amp; APIF_Import!$J$1,Podesavanja!$AA$3:$AD$28, 4, 0)), "", VLOOKUP( APIF_Import!$C383, INDIRECT( "Lookup_" &amp; APIF_Import!$M383:$O383), VLOOKUP( APIF_Import!$O383 &amp; APIF_Import!$J$1,Podesavanja!$AA$3:$AD$28, 4, 0), 0))</f>
        <v/>
      </c>
      <c r="K383" s="230" t="str">
        <f ca="1">IF( ISNA( VLOOKUP( APIF_Import!$O383 &amp; APIF_Import!$K$1,Podesavanja!$AA$3:$AD$28, 4, 0)), "", VLOOKUP( APIF_Import!$C383, INDIRECT( "Lookup_" &amp; APIF_Import!$M383:$O383), VLOOKUP( APIF_Import!$O383 &amp; APIF_Import!$K$1,Podesavanja!$AA$3:$AD$28, 4, 0), 0))</f>
        <v/>
      </c>
      <c r="L383" s="230" t="str">
        <f ca="1">IF( ISNA( VLOOKUP( APIF_Import!$O383 &amp; APIF_Import!$L$1,Podesavanja!$AA$3:$AD$28, 4, 0)), "", VLOOKUP( APIF_Import!$C383, INDIRECT( "Lookup_" &amp; APIF_Import!$M383:$O383), VLOOKUP( APIF_Import!$O383 &amp; APIF_Import!$L$1,Podesavanja!$AA$3:$AD$28, 4, 0), 0))</f>
        <v/>
      </c>
      <c r="M383" s="230" t="str">
        <f ca="1">IF( ISNA( VLOOKUP( APIF_Import!$O383 &amp; APIF_Import!$M$1,Podesavanja!$AA$3:$AD$28, 4, 0)), "", VLOOKUP( APIF_Import!$C383, INDIRECT( "Lookup_" &amp; APIF_Import!$M383:$O383), VLOOKUP( APIF_Import!$O383 &amp; APIF_Import!$M$1,Podesavanja!$AA$3:$AD$28, 4, 0), 0))</f>
        <v/>
      </c>
      <c r="N383" s="8">
        <v>384</v>
      </c>
      <c r="O383" s="8" t="s">
        <v>1538</v>
      </c>
    </row>
    <row r="384" spans="2:15">
      <c r="B384" s="44">
        <f ca="1">VLOOKUP( APIF_Import!$O384, Podesavanja!$N$3:$Q$9, 4, 0)</f>
        <v>4</v>
      </c>
      <c r="C384" s="229">
        <f ca="1">VLOOKUP( APIF_Import!$N384, Aop!$A$2:$P$456, 4, 0)</f>
        <v>634</v>
      </c>
      <c r="D384" s="230" t="str">
        <f ca="1">IF( ISNA( VLOOKUP( APIF_Import!$O384 &amp; APIF_Import!$D$1,Podesavanja!$AA$3:$AD$28, 4, 0)), "", SUBSTITUTE( VALUE( VLOOKUP( APIF_Import!$C384, INDIRECT( "Lookup_" &amp; APIF_Import!$O384), VLOOKUP( APIF_Import!$O384 &amp; APIF_Import!$D$1,Podesavanja!$AA$3:$AD$28, 4, 0), 0)), ".", ","))</f>
        <v>52128</v>
      </c>
      <c r="E384" s="230">
        <f ca="1">IF( ISNA( VLOOKUP( APIF_Import!$O384 &amp; APIF_Import!$E$1,Podesavanja!$AA$3:$AD$28, 4, 0)), "", VLOOKUP( APIF_Import!$C384, INDIRECT( "Lookup_" &amp; APIF_Import!$O384), VLOOKUP( APIF_Import!$O384 &amp; APIF_Import!$E$1,Podesavanja!$AA$3:$AD$28, 4, 0), 0))</f>
        <v>12056</v>
      </c>
      <c r="F384" s="230" t="str">
        <f ca="1">IF( ISNA( VLOOKUP( APIF_Import!$O384 &amp; APIF_Import!$F$1,Podesavanja!$AA$3:$AD$28, 4, 0)), "", VLOOKUP( APIF_Import!$C384, INDIRECT( "Lookup_" &amp; APIF_Import!$O384), VLOOKUP( APIF_Import!$O384 &amp; APIF_Import!$F$1,Podesavanja!$AA$3:$AD$28, 4, 0), 0))</f>
        <v/>
      </c>
      <c r="G384" s="230" t="str">
        <f ca="1">IF( ISNA( VLOOKUP( APIF_Import!$O384 &amp; APIF_Import!$G$1,Podesavanja!$AA$3:$AD$28, 4, 0)), "", VLOOKUP( APIF_Import!$C384, INDIRECT( "Lookup_" &amp; APIF_Import!$O384), VLOOKUP( APIF_Import!$O384 &amp; APIF_Import!$G$1,Podesavanja!$AA$3:$AD$28, 4, 0), 0))</f>
        <v/>
      </c>
      <c r="H384" s="230" t="str">
        <f ca="1">IF( ISNA( VLOOKUP( APIF_Import!$O384 &amp; APIF_Import!$H$1,Podesavanja!$AA$3:$AD$28, 4, 0)), "", VLOOKUP( APIF_Import!$C384, INDIRECT( "Lookup_" &amp; APIF_Import!$O384), VLOOKUP( APIF_Import!$O384 &amp; APIF_Import!$H$1,Podesavanja!$AA$3:$AD$28, 4, 0), 0))</f>
        <v/>
      </c>
      <c r="I384" s="230" t="str">
        <f ca="1">IF( ISNA( VLOOKUP( APIF_Import!$O384 &amp; APIF_Import!$I$1,Podesavanja!$AA$3:$AD$28, 4, 0)), "", VLOOKUP( APIF_Import!$C384, INDIRECT( "Lookup_" &amp; APIF_Import!$M384:$O384), VLOOKUP( APIF_Import!$O384 &amp; APIF_Import!$I$1,Podesavanja!$AA$3:$AD$28, 4, 0), 0))</f>
        <v/>
      </c>
      <c r="J384" s="230" t="str">
        <f ca="1">IF( ISNA( VLOOKUP( APIF_Import!$O384 &amp; APIF_Import!$J$1,Podesavanja!$AA$3:$AD$28, 4, 0)), "", VLOOKUP( APIF_Import!$C384, INDIRECT( "Lookup_" &amp; APIF_Import!$M384:$O384), VLOOKUP( APIF_Import!$O384 &amp; APIF_Import!$J$1,Podesavanja!$AA$3:$AD$28, 4, 0), 0))</f>
        <v/>
      </c>
      <c r="K384" s="230" t="str">
        <f ca="1">IF( ISNA( VLOOKUP( APIF_Import!$O384 &amp; APIF_Import!$K$1,Podesavanja!$AA$3:$AD$28, 4, 0)), "", VLOOKUP( APIF_Import!$C384, INDIRECT( "Lookup_" &amp; APIF_Import!$M384:$O384), VLOOKUP( APIF_Import!$O384 &amp; APIF_Import!$K$1,Podesavanja!$AA$3:$AD$28, 4, 0), 0))</f>
        <v/>
      </c>
      <c r="L384" s="230" t="str">
        <f ca="1">IF( ISNA( VLOOKUP( APIF_Import!$O384 &amp; APIF_Import!$L$1,Podesavanja!$AA$3:$AD$28, 4, 0)), "", VLOOKUP( APIF_Import!$C384, INDIRECT( "Lookup_" &amp; APIF_Import!$M384:$O384), VLOOKUP( APIF_Import!$O384 &amp; APIF_Import!$L$1,Podesavanja!$AA$3:$AD$28, 4, 0), 0))</f>
        <v/>
      </c>
      <c r="M384" s="230" t="str">
        <f ca="1">IF( ISNA( VLOOKUP( APIF_Import!$O384 &amp; APIF_Import!$M$1,Podesavanja!$AA$3:$AD$28, 4, 0)), "", VLOOKUP( APIF_Import!$C384, INDIRECT( "Lookup_" &amp; APIF_Import!$M384:$O384), VLOOKUP( APIF_Import!$O384 &amp; APIF_Import!$M$1,Podesavanja!$AA$3:$AD$28, 4, 0), 0))</f>
        <v/>
      </c>
      <c r="N384" s="8">
        <v>385</v>
      </c>
      <c r="O384" s="8" t="s">
        <v>1538</v>
      </c>
    </row>
    <row r="385" spans="2:15">
      <c r="B385" s="44">
        <f ca="1">VLOOKUP( APIF_Import!$O385, Podesavanja!$N$3:$Q$9, 4, 0)</f>
        <v>4</v>
      </c>
      <c r="C385" s="229">
        <f ca="1">VLOOKUP( APIF_Import!$N385, Aop!$A$2:$P$456, 4, 0)</f>
        <v>635</v>
      </c>
      <c r="D385" s="230" t="str">
        <f ca="1">IF( ISNA( VLOOKUP( APIF_Import!$O385 &amp; APIF_Import!$D$1,Podesavanja!$AA$3:$AD$28, 4, 0)), "", SUBSTITUTE( VALUE( VLOOKUP( APIF_Import!$C385, INDIRECT( "Lookup_" &amp; APIF_Import!$O385), VLOOKUP( APIF_Import!$O385 &amp; APIF_Import!$D$1,Podesavanja!$AA$3:$AD$28, 4, 0), 0)), ".", ","))</f>
        <v>596523</v>
      </c>
      <c r="E385" s="230">
        <f ca="1">IF( ISNA( VLOOKUP( APIF_Import!$O385 &amp; APIF_Import!$E$1,Podesavanja!$AA$3:$AD$28, 4, 0)), "", VLOOKUP( APIF_Import!$C385, INDIRECT( "Lookup_" &amp; APIF_Import!$O385), VLOOKUP( APIF_Import!$O385 &amp; APIF_Import!$E$1,Podesavanja!$AA$3:$AD$28, 4, 0), 0))</f>
        <v>606175</v>
      </c>
      <c r="F385" s="230" t="str">
        <f ca="1">IF( ISNA( VLOOKUP( APIF_Import!$O385 &amp; APIF_Import!$F$1,Podesavanja!$AA$3:$AD$28, 4, 0)), "", VLOOKUP( APIF_Import!$C385, INDIRECT( "Lookup_" &amp; APIF_Import!$O385), VLOOKUP( APIF_Import!$O385 &amp; APIF_Import!$F$1,Podesavanja!$AA$3:$AD$28, 4, 0), 0))</f>
        <v/>
      </c>
      <c r="G385" s="230" t="str">
        <f ca="1">IF( ISNA( VLOOKUP( APIF_Import!$O385 &amp; APIF_Import!$G$1,Podesavanja!$AA$3:$AD$28, 4, 0)), "", VLOOKUP( APIF_Import!$C385, INDIRECT( "Lookup_" &amp; APIF_Import!$O385), VLOOKUP( APIF_Import!$O385 &amp; APIF_Import!$G$1,Podesavanja!$AA$3:$AD$28, 4, 0), 0))</f>
        <v/>
      </c>
      <c r="H385" s="230" t="str">
        <f ca="1">IF( ISNA( VLOOKUP( APIF_Import!$O385 &amp; APIF_Import!$H$1,Podesavanja!$AA$3:$AD$28, 4, 0)), "", VLOOKUP( APIF_Import!$C385, INDIRECT( "Lookup_" &amp; APIF_Import!$O385), VLOOKUP( APIF_Import!$O385 &amp; APIF_Import!$H$1,Podesavanja!$AA$3:$AD$28, 4, 0), 0))</f>
        <v/>
      </c>
      <c r="I385" s="230" t="str">
        <f ca="1">IF( ISNA( VLOOKUP( APIF_Import!$O385 &amp; APIF_Import!$I$1,Podesavanja!$AA$3:$AD$28, 4, 0)), "", VLOOKUP( APIF_Import!$C385, INDIRECT( "Lookup_" &amp; APIF_Import!$M385:$O385), VLOOKUP( APIF_Import!$O385 &amp; APIF_Import!$I$1,Podesavanja!$AA$3:$AD$28, 4, 0), 0))</f>
        <v/>
      </c>
      <c r="J385" s="230" t="str">
        <f ca="1">IF( ISNA( VLOOKUP( APIF_Import!$O385 &amp; APIF_Import!$J$1,Podesavanja!$AA$3:$AD$28, 4, 0)), "", VLOOKUP( APIF_Import!$C385, INDIRECT( "Lookup_" &amp; APIF_Import!$M385:$O385), VLOOKUP( APIF_Import!$O385 &amp; APIF_Import!$J$1,Podesavanja!$AA$3:$AD$28, 4, 0), 0))</f>
        <v/>
      </c>
      <c r="K385" s="230" t="str">
        <f ca="1">IF( ISNA( VLOOKUP( APIF_Import!$O385 &amp; APIF_Import!$K$1,Podesavanja!$AA$3:$AD$28, 4, 0)), "", VLOOKUP( APIF_Import!$C385, INDIRECT( "Lookup_" &amp; APIF_Import!$M385:$O385), VLOOKUP( APIF_Import!$O385 &amp; APIF_Import!$K$1,Podesavanja!$AA$3:$AD$28, 4, 0), 0))</f>
        <v/>
      </c>
      <c r="L385" s="230" t="str">
        <f ca="1">IF( ISNA( VLOOKUP( APIF_Import!$O385 &amp; APIF_Import!$L$1,Podesavanja!$AA$3:$AD$28, 4, 0)), "", VLOOKUP( APIF_Import!$C385, INDIRECT( "Lookup_" &amp; APIF_Import!$M385:$O385), VLOOKUP( APIF_Import!$O385 &amp; APIF_Import!$L$1,Podesavanja!$AA$3:$AD$28, 4, 0), 0))</f>
        <v/>
      </c>
      <c r="M385" s="230" t="str">
        <f ca="1">IF( ISNA( VLOOKUP( APIF_Import!$O385 &amp; APIF_Import!$M$1,Podesavanja!$AA$3:$AD$28, 4, 0)), "", VLOOKUP( APIF_Import!$C385, INDIRECT( "Lookup_" &amp; APIF_Import!$M385:$O385), VLOOKUP( APIF_Import!$O385 &amp; APIF_Import!$M$1,Podesavanja!$AA$3:$AD$28, 4, 0), 0))</f>
        <v/>
      </c>
      <c r="N385" s="8">
        <v>386</v>
      </c>
      <c r="O385" s="8" t="s">
        <v>1538</v>
      </c>
    </row>
    <row r="386" spans="2:15">
      <c r="B386" s="44">
        <f ca="1">VLOOKUP( APIF_Import!$O386, Podesavanja!$N$3:$Q$9, 4, 0)</f>
        <v>4</v>
      </c>
      <c r="C386" s="229">
        <f ca="1">VLOOKUP( APIF_Import!$N386, Aop!$A$2:$P$456, 4, 0)</f>
        <v>636</v>
      </c>
      <c r="D386" s="230" t="str">
        <f ca="1">IF( ISNA( VLOOKUP( APIF_Import!$O386 &amp; APIF_Import!$D$1,Podesavanja!$AA$3:$AD$28, 4, 0)), "", SUBSTITUTE( VALUE( VLOOKUP( APIF_Import!$C386, INDIRECT( "Lookup_" &amp; APIF_Import!$O386), VLOOKUP( APIF_Import!$O386 &amp; APIF_Import!$D$1,Podesavanja!$AA$3:$AD$28, 4, 0), 0)), ".", ","))</f>
        <v>11994</v>
      </c>
      <c r="E386" s="230">
        <f ca="1">IF( ISNA( VLOOKUP( APIF_Import!$O386 &amp; APIF_Import!$E$1,Podesavanja!$AA$3:$AD$28, 4, 0)), "", VLOOKUP( APIF_Import!$C386, INDIRECT( "Lookup_" &amp; APIF_Import!$O386), VLOOKUP( APIF_Import!$O386 &amp; APIF_Import!$E$1,Podesavanja!$AA$3:$AD$28, 4, 0), 0))</f>
        <v>11904</v>
      </c>
      <c r="F386" s="230" t="str">
        <f ca="1">IF( ISNA( VLOOKUP( APIF_Import!$O386 &amp; APIF_Import!$F$1,Podesavanja!$AA$3:$AD$28, 4, 0)), "", VLOOKUP( APIF_Import!$C386, INDIRECT( "Lookup_" &amp; APIF_Import!$O386), VLOOKUP( APIF_Import!$O386 &amp; APIF_Import!$F$1,Podesavanja!$AA$3:$AD$28, 4, 0), 0))</f>
        <v/>
      </c>
      <c r="G386" s="230" t="str">
        <f ca="1">IF( ISNA( VLOOKUP( APIF_Import!$O386 &amp; APIF_Import!$G$1,Podesavanja!$AA$3:$AD$28, 4, 0)), "", VLOOKUP( APIF_Import!$C386, INDIRECT( "Lookup_" &amp; APIF_Import!$O386), VLOOKUP( APIF_Import!$O386 &amp; APIF_Import!$G$1,Podesavanja!$AA$3:$AD$28, 4, 0), 0))</f>
        <v/>
      </c>
      <c r="H386" s="230" t="str">
        <f ca="1">IF( ISNA( VLOOKUP( APIF_Import!$O386 &amp; APIF_Import!$H$1,Podesavanja!$AA$3:$AD$28, 4, 0)), "", VLOOKUP( APIF_Import!$C386, INDIRECT( "Lookup_" &amp; APIF_Import!$O386), VLOOKUP( APIF_Import!$O386 &amp; APIF_Import!$H$1,Podesavanja!$AA$3:$AD$28, 4, 0), 0))</f>
        <v/>
      </c>
      <c r="I386" s="230" t="str">
        <f ca="1">IF( ISNA( VLOOKUP( APIF_Import!$O386 &amp; APIF_Import!$I$1,Podesavanja!$AA$3:$AD$28, 4, 0)), "", VLOOKUP( APIF_Import!$C386, INDIRECT( "Lookup_" &amp; APIF_Import!$M386:$O386), VLOOKUP( APIF_Import!$O386 &amp; APIF_Import!$I$1,Podesavanja!$AA$3:$AD$28, 4, 0), 0))</f>
        <v/>
      </c>
      <c r="J386" s="230" t="str">
        <f ca="1">IF( ISNA( VLOOKUP( APIF_Import!$O386 &amp; APIF_Import!$J$1,Podesavanja!$AA$3:$AD$28, 4, 0)), "", VLOOKUP( APIF_Import!$C386, INDIRECT( "Lookup_" &amp; APIF_Import!$M386:$O386), VLOOKUP( APIF_Import!$O386 &amp; APIF_Import!$J$1,Podesavanja!$AA$3:$AD$28, 4, 0), 0))</f>
        <v/>
      </c>
      <c r="K386" s="230" t="str">
        <f ca="1">IF( ISNA( VLOOKUP( APIF_Import!$O386 &amp; APIF_Import!$K$1,Podesavanja!$AA$3:$AD$28, 4, 0)), "", VLOOKUP( APIF_Import!$C386, INDIRECT( "Lookup_" &amp; APIF_Import!$M386:$O386), VLOOKUP( APIF_Import!$O386 &amp; APIF_Import!$K$1,Podesavanja!$AA$3:$AD$28, 4, 0), 0))</f>
        <v/>
      </c>
      <c r="L386" s="230" t="str">
        <f ca="1">IF( ISNA( VLOOKUP( APIF_Import!$O386 &amp; APIF_Import!$L$1,Podesavanja!$AA$3:$AD$28, 4, 0)), "", VLOOKUP( APIF_Import!$C386, INDIRECT( "Lookup_" &amp; APIF_Import!$M386:$O386), VLOOKUP( APIF_Import!$O386 &amp; APIF_Import!$L$1,Podesavanja!$AA$3:$AD$28, 4, 0), 0))</f>
        <v/>
      </c>
      <c r="M386" s="230" t="str">
        <f ca="1">IF( ISNA( VLOOKUP( APIF_Import!$O386 &amp; APIF_Import!$M$1,Podesavanja!$AA$3:$AD$28, 4, 0)), "", VLOOKUP( APIF_Import!$C386, INDIRECT( "Lookup_" &amp; APIF_Import!$M386:$O386), VLOOKUP( APIF_Import!$O386 &amp; APIF_Import!$M$1,Podesavanja!$AA$3:$AD$28, 4, 0), 0))</f>
        <v/>
      </c>
      <c r="N386" s="8">
        <v>387</v>
      </c>
      <c r="O386" s="8" t="s">
        <v>1538</v>
      </c>
    </row>
    <row r="387" spans="2:15">
      <c r="B387" s="44">
        <f ca="1">VLOOKUP( APIF_Import!$O387, Podesavanja!$N$3:$Q$9, 4, 0)</f>
        <v>4</v>
      </c>
      <c r="C387" s="229">
        <f ca="1">VLOOKUP( APIF_Import!$N387, Aop!$A$2:$P$456, 4, 0)</f>
        <v>637</v>
      </c>
      <c r="D387" s="230" t="str">
        <f ca="1">IF( ISNA( VLOOKUP( APIF_Import!$O387 &amp; APIF_Import!$D$1,Podesavanja!$AA$3:$AD$28, 4, 0)), "", SUBSTITUTE( VALUE( VLOOKUP( APIF_Import!$C387, INDIRECT( "Lookup_" &amp; APIF_Import!$O387), VLOOKUP( APIF_Import!$O387 &amp; APIF_Import!$D$1,Podesavanja!$AA$3:$AD$28, 4, 0), 0)), ".", ","))</f>
        <v>5597</v>
      </c>
      <c r="E387" s="230">
        <f ca="1">IF( ISNA( VLOOKUP( APIF_Import!$O387 &amp; APIF_Import!$E$1,Podesavanja!$AA$3:$AD$28, 4, 0)), "", VLOOKUP( APIF_Import!$C387, INDIRECT( "Lookup_" &amp; APIF_Import!$O387), VLOOKUP( APIF_Import!$O387 &amp; APIF_Import!$E$1,Podesavanja!$AA$3:$AD$28, 4, 0), 0))</f>
        <v>719</v>
      </c>
      <c r="F387" s="230" t="str">
        <f ca="1">IF( ISNA( VLOOKUP( APIF_Import!$O387 &amp; APIF_Import!$F$1,Podesavanja!$AA$3:$AD$28, 4, 0)), "", VLOOKUP( APIF_Import!$C387, INDIRECT( "Lookup_" &amp; APIF_Import!$O387), VLOOKUP( APIF_Import!$O387 &amp; APIF_Import!$F$1,Podesavanja!$AA$3:$AD$28, 4, 0), 0))</f>
        <v/>
      </c>
      <c r="G387" s="230" t="str">
        <f ca="1">IF( ISNA( VLOOKUP( APIF_Import!$O387 &amp; APIF_Import!$G$1,Podesavanja!$AA$3:$AD$28, 4, 0)), "", VLOOKUP( APIF_Import!$C387, INDIRECT( "Lookup_" &amp; APIF_Import!$O387), VLOOKUP( APIF_Import!$O387 &amp; APIF_Import!$G$1,Podesavanja!$AA$3:$AD$28, 4, 0), 0))</f>
        <v/>
      </c>
      <c r="H387" s="230" t="str">
        <f ca="1">IF( ISNA( VLOOKUP( APIF_Import!$O387 &amp; APIF_Import!$H$1,Podesavanja!$AA$3:$AD$28, 4, 0)), "", VLOOKUP( APIF_Import!$C387, INDIRECT( "Lookup_" &amp; APIF_Import!$O387), VLOOKUP( APIF_Import!$O387 &amp; APIF_Import!$H$1,Podesavanja!$AA$3:$AD$28, 4, 0), 0))</f>
        <v/>
      </c>
      <c r="I387" s="230" t="str">
        <f ca="1">IF( ISNA( VLOOKUP( APIF_Import!$O387 &amp; APIF_Import!$I$1,Podesavanja!$AA$3:$AD$28, 4, 0)), "", VLOOKUP( APIF_Import!$C387, INDIRECT( "Lookup_" &amp; APIF_Import!$M387:$O387), VLOOKUP( APIF_Import!$O387 &amp; APIF_Import!$I$1,Podesavanja!$AA$3:$AD$28, 4, 0), 0))</f>
        <v/>
      </c>
      <c r="J387" s="230" t="str">
        <f ca="1">IF( ISNA( VLOOKUP( APIF_Import!$O387 &amp; APIF_Import!$J$1,Podesavanja!$AA$3:$AD$28, 4, 0)), "", VLOOKUP( APIF_Import!$C387, INDIRECT( "Lookup_" &amp; APIF_Import!$M387:$O387), VLOOKUP( APIF_Import!$O387 &amp; APIF_Import!$J$1,Podesavanja!$AA$3:$AD$28, 4, 0), 0))</f>
        <v/>
      </c>
      <c r="K387" s="230" t="str">
        <f ca="1">IF( ISNA( VLOOKUP( APIF_Import!$O387 &amp; APIF_Import!$K$1,Podesavanja!$AA$3:$AD$28, 4, 0)), "", VLOOKUP( APIF_Import!$C387, INDIRECT( "Lookup_" &amp; APIF_Import!$M387:$O387), VLOOKUP( APIF_Import!$O387 &amp; APIF_Import!$K$1,Podesavanja!$AA$3:$AD$28, 4, 0), 0))</f>
        <v/>
      </c>
      <c r="L387" s="230" t="str">
        <f ca="1">IF( ISNA( VLOOKUP( APIF_Import!$O387 &amp; APIF_Import!$L$1,Podesavanja!$AA$3:$AD$28, 4, 0)), "", VLOOKUP( APIF_Import!$C387, INDIRECT( "Lookup_" &amp; APIF_Import!$M387:$O387), VLOOKUP( APIF_Import!$O387 &amp; APIF_Import!$L$1,Podesavanja!$AA$3:$AD$28, 4, 0), 0))</f>
        <v/>
      </c>
      <c r="M387" s="230" t="str">
        <f ca="1">IF( ISNA( VLOOKUP( APIF_Import!$O387 &amp; APIF_Import!$M$1,Podesavanja!$AA$3:$AD$28, 4, 0)), "", VLOOKUP( APIF_Import!$C387, INDIRECT( "Lookup_" &amp; APIF_Import!$M387:$O387), VLOOKUP( APIF_Import!$O387 &amp; APIF_Import!$M$1,Podesavanja!$AA$3:$AD$28, 4, 0), 0))</f>
        <v/>
      </c>
      <c r="N387" s="8">
        <v>388</v>
      </c>
      <c r="O387" s="8" t="s">
        <v>1538</v>
      </c>
    </row>
    <row r="388" spans="2:15">
      <c r="B388" s="44">
        <f ca="1">VLOOKUP( APIF_Import!$O388, Podesavanja!$N$3:$Q$9, 4, 0)</f>
        <v>4</v>
      </c>
      <c r="C388" s="229">
        <f ca="1">VLOOKUP( APIF_Import!$N388, Aop!$A$2:$P$456, 4, 0)</f>
        <v>638</v>
      </c>
      <c r="D388" s="230" t="str">
        <f ca="1">IF( ISNA( VLOOKUP( APIF_Import!$O388 &amp; APIF_Import!$D$1,Podesavanja!$AA$3:$AD$28, 4, 0)), "", SUBSTITUTE( VALUE( VLOOKUP( APIF_Import!$C388, INDIRECT( "Lookup_" &amp; APIF_Import!$O388), VLOOKUP( APIF_Import!$O388 &amp; APIF_Import!$D$1,Podesavanja!$AA$3:$AD$28, 4, 0), 0)), ".", ","))</f>
        <v>1341</v>
      </c>
      <c r="E388" s="230">
        <f ca="1">IF( ISNA( VLOOKUP( APIF_Import!$O388 &amp; APIF_Import!$E$1,Podesavanja!$AA$3:$AD$28, 4, 0)), "", VLOOKUP( APIF_Import!$C388, INDIRECT( "Lookup_" &amp; APIF_Import!$O388), VLOOKUP( APIF_Import!$O388 &amp; APIF_Import!$E$1,Podesavanja!$AA$3:$AD$28, 4, 0), 0))</f>
        <v>353</v>
      </c>
      <c r="F388" s="230" t="str">
        <f ca="1">IF( ISNA( VLOOKUP( APIF_Import!$O388 &amp; APIF_Import!$F$1,Podesavanja!$AA$3:$AD$28, 4, 0)), "", VLOOKUP( APIF_Import!$C388, INDIRECT( "Lookup_" &amp; APIF_Import!$O388), VLOOKUP( APIF_Import!$O388 &amp; APIF_Import!$F$1,Podesavanja!$AA$3:$AD$28, 4, 0), 0))</f>
        <v/>
      </c>
      <c r="G388" s="230" t="str">
        <f ca="1">IF( ISNA( VLOOKUP( APIF_Import!$O388 &amp; APIF_Import!$G$1,Podesavanja!$AA$3:$AD$28, 4, 0)), "", VLOOKUP( APIF_Import!$C388, INDIRECT( "Lookup_" &amp; APIF_Import!$O388), VLOOKUP( APIF_Import!$O388 &amp; APIF_Import!$G$1,Podesavanja!$AA$3:$AD$28, 4, 0), 0))</f>
        <v/>
      </c>
      <c r="H388" s="230" t="str">
        <f ca="1">IF( ISNA( VLOOKUP( APIF_Import!$O388 &amp; APIF_Import!$H$1,Podesavanja!$AA$3:$AD$28, 4, 0)), "", VLOOKUP( APIF_Import!$C388, INDIRECT( "Lookup_" &amp; APIF_Import!$O388), VLOOKUP( APIF_Import!$O388 &amp; APIF_Import!$H$1,Podesavanja!$AA$3:$AD$28, 4, 0), 0))</f>
        <v/>
      </c>
      <c r="I388" s="230" t="str">
        <f ca="1">IF( ISNA( VLOOKUP( APIF_Import!$O388 &amp; APIF_Import!$I$1,Podesavanja!$AA$3:$AD$28, 4, 0)), "", VLOOKUP( APIF_Import!$C388, INDIRECT( "Lookup_" &amp; APIF_Import!$M388:$O388), VLOOKUP( APIF_Import!$O388 &amp; APIF_Import!$I$1,Podesavanja!$AA$3:$AD$28, 4, 0), 0))</f>
        <v/>
      </c>
      <c r="J388" s="230" t="str">
        <f ca="1">IF( ISNA( VLOOKUP( APIF_Import!$O388 &amp; APIF_Import!$J$1,Podesavanja!$AA$3:$AD$28, 4, 0)), "", VLOOKUP( APIF_Import!$C388, INDIRECT( "Lookup_" &amp; APIF_Import!$M388:$O388), VLOOKUP( APIF_Import!$O388 &amp; APIF_Import!$J$1,Podesavanja!$AA$3:$AD$28, 4, 0), 0))</f>
        <v/>
      </c>
      <c r="K388" s="230" t="str">
        <f ca="1">IF( ISNA( VLOOKUP( APIF_Import!$O388 &amp; APIF_Import!$K$1,Podesavanja!$AA$3:$AD$28, 4, 0)), "", VLOOKUP( APIF_Import!$C388, INDIRECT( "Lookup_" &amp; APIF_Import!$M388:$O388), VLOOKUP( APIF_Import!$O388 &amp; APIF_Import!$K$1,Podesavanja!$AA$3:$AD$28, 4, 0), 0))</f>
        <v/>
      </c>
      <c r="L388" s="230" t="str">
        <f ca="1">IF( ISNA( VLOOKUP( APIF_Import!$O388 &amp; APIF_Import!$L$1,Podesavanja!$AA$3:$AD$28, 4, 0)), "", VLOOKUP( APIF_Import!$C388, INDIRECT( "Lookup_" &amp; APIF_Import!$M388:$O388), VLOOKUP( APIF_Import!$O388 &amp; APIF_Import!$L$1,Podesavanja!$AA$3:$AD$28, 4, 0), 0))</f>
        <v/>
      </c>
      <c r="M388" s="230" t="str">
        <f ca="1">IF( ISNA( VLOOKUP( APIF_Import!$O388 &amp; APIF_Import!$M$1,Podesavanja!$AA$3:$AD$28, 4, 0)), "", VLOOKUP( APIF_Import!$C388, INDIRECT( "Lookup_" &amp; APIF_Import!$M388:$O388), VLOOKUP( APIF_Import!$O388 &amp; APIF_Import!$M$1,Podesavanja!$AA$3:$AD$28, 4, 0), 0))</f>
        <v/>
      </c>
      <c r="N388" s="8">
        <v>389</v>
      </c>
      <c r="O388" s="8" t="s">
        <v>1538</v>
      </c>
    </row>
    <row r="389" spans="2:15">
      <c r="B389" s="44">
        <f ca="1">VLOOKUP( APIF_Import!$O389, Podesavanja!$N$3:$Q$9, 4, 0)</f>
        <v>4</v>
      </c>
      <c r="C389" s="229">
        <f ca="1">VLOOKUP( APIF_Import!$N389, Aop!$A$2:$P$456, 4, 0)</f>
        <v>639</v>
      </c>
      <c r="D389" s="230" t="str">
        <f ca="1">IF( ISNA( VLOOKUP( APIF_Import!$O389 &amp; APIF_Import!$D$1,Podesavanja!$AA$3:$AD$28, 4, 0)), "", SUBSTITUTE( VALUE( VLOOKUP( APIF_Import!$C389, INDIRECT( "Lookup_" &amp; APIF_Import!$O389), VLOOKUP( APIF_Import!$O389 &amp; APIF_Import!$D$1,Podesavanja!$AA$3:$AD$28, 4, 0), 0)), ".", ","))</f>
        <v>1033451</v>
      </c>
      <c r="E389" s="230">
        <f ca="1">IF( ISNA( VLOOKUP( APIF_Import!$O389 &amp; APIF_Import!$E$1,Podesavanja!$AA$3:$AD$28, 4, 0)), "", VLOOKUP( APIF_Import!$C389, INDIRECT( "Lookup_" &amp; APIF_Import!$O389), VLOOKUP( APIF_Import!$O389 &amp; APIF_Import!$E$1,Podesavanja!$AA$3:$AD$28, 4, 0), 0))</f>
        <v>139934</v>
      </c>
      <c r="F389" s="230" t="str">
        <f ca="1">IF( ISNA( VLOOKUP( APIF_Import!$O389 &amp; APIF_Import!$F$1,Podesavanja!$AA$3:$AD$28, 4, 0)), "", VLOOKUP( APIF_Import!$C389, INDIRECT( "Lookup_" &amp; APIF_Import!$O389), VLOOKUP( APIF_Import!$O389 &amp; APIF_Import!$F$1,Podesavanja!$AA$3:$AD$28, 4, 0), 0))</f>
        <v/>
      </c>
      <c r="G389" s="230" t="str">
        <f ca="1">IF( ISNA( VLOOKUP( APIF_Import!$O389 &amp; APIF_Import!$G$1,Podesavanja!$AA$3:$AD$28, 4, 0)), "", VLOOKUP( APIF_Import!$C389, INDIRECT( "Lookup_" &amp; APIF_Import!$O389), VLOOKUP( APIF_Import!$O389 &amp; APIF_Import!$G$1,Podesavanja!$AA$3:$AD$28, 4, 0), 0))</f>
        <v/>
      </c>
      <c r="H389" s="230" t="str">
        <f ca="1">IF( ISNA( VLOOKUP( APIF_Import!$O389 &amp; APIF_Import!$H$1,Podesavanja!$AA$3:$AD$28, 4, 0)), "", VLOOKUP( APIF_Import!$C389, INDIRECT( "Lookup_" &amp; APIF_Import!$O389), VLOOKUP( APIF_Import!$O389 &amp; APIF_Import!$H$1,Podesavanja!$AA$3:$AD$28, 4, 0), 0))</f>
        <v/>
      </c>
      <c r="I389" s="230" t="str">
        <f ca="1">IF( ISNA( VLOOKUP( APIF_Import!$O389 &amp; APIF_Import!$I$1,Podesavanja!$AA$3:$AD$28, 4, 0)), "", VLOOKUP( APIF_Import!$C389, INDIRECT( "Lookup_" &amp; APIF_Import!$M389:$O389), VLOOKUP( APIF_Import!$O389 &amp; APIF_Import!$I$1,Podesavanja!$AA$3:$AD$28, 4, 0), 0))</f>
        <v/>
      </c>
      <c r="J389" s="230" t="str">
        <f ca="1">IF( ISNA( VLOOKUP( APIF_Import!$O389 &amp; APIF_Import!$J$1,Podesavanja!$AA$3:$AD$28, 4, 0)), "", VLOOKUP( APIF_Import!$C389, INDIRECT( "Lookup_" &amp; APIF_Import!$M389:$O389), VLOOKUP( APIF_Import!$O389 &amp; APIF_Import!$J$1,Podesavanja!$AA$3:$AD$28, 4, 0), 0))</f>
        <v/>
      </c>
      <c r="K389" s="230" t="str">
        <f ca="1">IF( ISNA( VLOOKUP( APIF_Import!$O389 &amp; APIF_Import!$K$1,Podesavanja!$AA$3:$AD$28, 4, 0)), "", VLOOKUP( APIF_Import!$C389, INDIRECT( "Lookup_" &amp; APIF_Import!$M389:$O389), VLOOKUP( APIF_Import!$O389 &amp; APIF_Import!$K$1,Podesavanja!$AA$3:$AD$28, 4, 0), 0))</f>
        <v/>
      </c>
      <c r="L389" s="230" t="str">
        <f ca="1">IF( ISNA( VLOOKUP( APIF_Import!$O389 &amp; APIF_Import!$L$1,Podesavanja!$AA$3:$AD$28, 4, 0)), "", VLOOKUP( APIF_Import!$C389, INDIRECT( "Lookup_" &amp; APIF_Import!$M389:$O389), VLOOKUP( APIF_Import!$O389 &amp; APIF_Import!$L$1,Podesavanja!$AA$3:$AD$28, 4, 0), 0))</f>
        <v/>
      </c>
      <c r="M389" s="230" t="str">
        <f ca="1">IF( ISNA( VLOOKUP( APIF_Import!$O389 &amp; APIF_Import!$M$1,Podesavanja!$AA$3:$AD$28, 4, 0)), "", VLOOKUP( APIF_Import!$C389, INDIRECT( "Lookup_" &amp; APIF_Import!$M389:$O389), VLOOKUP( APIF_Import!$O389 &amp; APIF_Import!$M$1,Podesavanja!$AA$3:$AD$28, 4, 0), 0))</f>
        <v/>
      </c>
      <c r="N389" s="8">
        <v>390</v>
      </c>
      <c r="O389" s="8" t="s">
        <v>1538</v>
      </c>
    </row>
    <row r="390" spans="2:15">
      <c r="B390" s="44">
        <f ca="1">VLOOKUP( APIF_Import!$O390, Podesavanja!$N$3:$Q$9, 4, 0)</f>
        <v>4</v>
      </c>
      <c r="C390" s="229">
        <f ca="1">VLOOKUP( APIF_Import!$N390, Aop!$A$2:$P$456, 4, 0)</f>
        <v>640</v>
      </c>
      <c r="D390" s="230" t="str">
        <f ca="1">IF( ISNA( VLOOKUP( APIF_Import!$O390 &amp; APIF_Import!$D$1,Podesavanja!$AA$3:$AD$28, 4, 0)), "", SUBSTITUTE( VALUE( VLOOKUP( APIF_Import!$C390, INDIRECT( "Lookup_" &amp; APIF_Import!$O390), VLOOKUP( APIF_Import!$O390 &amp; APIF_Import!$D$1,Podesavanja!$AA$3:$AD$28, 4, 0), 0)), ".", ","))</f>
        <v>0</v>
      </c>
      <c r="E390" s="230">
        <f ca="1">IF( ISNA( VLOOKUP( APIF_Import!$O390 &amp; APIF_Import!$E$1,Podesavanja!$AA$3:$AD$28, 4, 0)), "", VLOOKUP( APIF_Import!$C390, INDIRECT( "Lookup_" &amp; APIF_Import!$O390), VLOOKUP( APIF_Import!$O390 &amp; APIF_Import!$E$1,Podesavanja!$AA$3:$AD$28, 4, 0), 0))</f>
        <v>0</v>
      </c>
      <c r="F390" s="230" t="str">
        <f ca="1">IF( ISNA( VLOOKUP( APIF_Import!$O390 &amp; APIF_Import!$F$1,Podesavanja!$AA$3:$AD$28, 4, 0)), "", VLOOKUP( APIF_Import!$C390, INDIRECT( "Lookup_" &amp; APIF_Import!$O390), VLOOKUP( APIF_Import!$O390 &amp; APIF_Import!$F$1,Podesavanja!$AA$3:$AD$28, 4, 0), 0))</f>
        <v/>
      </c>
      <c r="G390" s="230" t="str">
        <f ca="1">IF( ISNA( VLOOKUP( APIF_Import!$O390 &amp; APIF_Import!$G$1,Podesavanja!$AA$3:$AD$28, 4, 0)), "", VLOOKUP( APIF_Import!$C390, INDIRECT( "Lookup_" &amp; APIF_Import!$O390), VLOOKUP( APIF_Import!$O390 &amp; APIF_Import!$G$1,Podesavanja!$AA$3:$AD$28, 4, 0), 0))</f>
        <v/>
      </c>
      <c r="H390" s="230" t="str">
        <f ca="1">IF( ISNA( VLOOKUP( APIF_Import!$O390 &amp; APIF_Import!$H$1,Podesavanja!$AA$3:$AD$28, 4, 0)), "", VLOOKUP( APIF_Import!$C390, INDIRECT( "Lookup_" &amp; APIF_Import!$O390), VLOOKUP( APIF_Import!$O390 &amp; APIF_Import!$H$1,Podesavanja!$AA$3:$AD$28, 4, 0), 0))</f>
        <v/>
      </c>
      <c r="I390" s="230" t="str">
        <f ca="1">IF( ISNA( VLOOKUP( APIF_Import!$O390 &amp; APIF_Import!$I$1,Podesavanja!$AA$3:$AD$28, 4, 0)), "", VLOOKUP( APIF_Import!$C390, INDIRECT( "Lookup_" &amp; APIF_Import!$M390:$O390), VLOOKUP( APIF_Import!$O390 &amp; APIF_Import!$I$1,Podesavanja!$AA$3:$AD$28, 4, 0), 0))</f>
        <v/>
      </c>
      <c r="J390" s="230" t="str">
        <f ca="1">IF( ISNA( VLOOKUP( APIF_Import!$O390 &amp; APIF_Import!$J$1,Podesavanja!$AA$3:$AD$28, 4, 0)), "", VLOOKUP( APIF_Import!$C390, INDIRECT( "Lookup_" &amp; APIF_Import!$M390:$O390), VLOOKUP( APIF_Import!$O390 &amp; APIF_Import!$J$1,Podesavanja!$AA$3:$AD$28, 4, 0), 0))</f>
        <v/>
      </c>
      <c r="K390" s="230" t="str">
        <f ca="1">IF( ISNA( VLOOKUP( APIF_Import!$O390 &amp; APIF_Import!$K$1,Podesavanja!$AA$3:$AD$28, 4, 0)), "", VLOOKUP( APIF_Import!$C390, INDIRECT( "Lookup_" &amp; APIF_Import!$M390:$O390), VLOOKUP( APIF_Import!$O390 &amp; APIF_Import!$K$1,Podesavanja!$AA$3:$AD$28, 4, 0), 0))</f>
        <v/>
      </c>
      <c r="L390" s="230" t="str">
        <f ca="1">IF( ISNA( VLOOKUP( APIF_Import!$O390 &amp; APIF_Import!$L$1,Podesavanja!$AA$3:$AD$28, 4, 0)), "", VLOOKUP( APIF_Import!$C390, INDIRECT( "Lookup_" &amp; APIF_Import!$M390:$O390), VLOOKUP( APIF_Import!$O390 &amp; APIF_Import!$L$1,Podesavanja!$AA$3:$AD$28, 4, 0), 0))</f>
        <v/>
      </c>
      <c r="M390" s="230" t="str">
        <f ca="1">IF( ISNA( VLOOKUP( APIF_Import!$O390 &amp; APIF_Import!$M$1,Podesavanja!$AA$3:$AD$28, 4, 0)), "", VLOOKUP( APIF_Import!$C390, INDIRECT( "Lookup_" &amp; APIF_Import!$M390:$O390), VLOOKUP( APIF_Import!$O390 &amp; APIF_Import!$M$1,Podesavanja!$AA$3:$AD$28, 4, 0), 0))</f>
        <v/>
      </c>
      <c r="N390" s="8">
        <v>391</v>
      </c>
      <c r="O390" s="8" t="s">
        <v>1538</v>
      </c>
    </row>
    <row r="391" spans="2:15">
      <c r="B391" s="44">
        <f ca="1">VLOOKUP( APIF_Import!$O391, Podesavanja!$N$3:$Q$9, 4, 0)</f>
        <v>4</v>
      </c>
      <c r="C391" s="229">
        <f ca="1">VLOOKUP( APIF_Import!$N391, Aop!$A$2:$P$456, 4, 0)</f>
        <v>641</v>
      </c>
      <c r="D391" s="230" t="str">
        <f ca="1">IF( ISNA( VLOOKUP( APIF_Import!$O391 &amp; APIF_Import!$D$1,Podesavanja!$AA$3:$AD$28, 4, 0)), "", SUBSTITUTE( VALUE( VLOOKUP( APIF_Import!$C391, INDIRECT( "Lookup_" &amp; APIF_Import!$O391), VLOOKUP( APIF_Import!$O391 &amp; APIF_Import!$D$1,Podesavanja!$AA$3:$AD$28, 4, 0), 0)), ".", ","))</f>
        <v>520870</v>
      </c>
      <c r="E391" s="230">
        <f ca="1">IF( ISNA( VLOOKUP( APIF_Import!$O391 &amp; APIF_Import!$E$1,Podesavanja!$AA$3:$AD$28, 4, 0)), "", VLOOKUP( APIF_Import!$C391, INDIRECT( "Lookup_" &amp; APIF_Import!$O391), VLOOKUP( APIF_Import!$O391 &amp; APIF_Import!$E$1,Podesavanja!$AA$3:$AD$28, 4, 0), 0))</f>
        <v>4550</v>
      </c>
      <c r="F391" s="230" t="str">
        <f ca="1">IF( ISNA( VLOOKUP( APIF_Import!$O391 &amp; APIF_Import!$F$1,Podesavanja!$AA$3:$AD$28, 4, 0)), "", VLOOKUP( APIF_Import!$C391, INDIRECT( "Lookup_" &amp; APIF_Import!$O391), VLOOKUP( APIF_Import!$O391 &amp; APIF_Import!$F$1,Podesavanja!$AA$3:$AD$28, 4, 0), 0))</f>
        <v/>
      </c>
      <c r="G391" s="230" t="str">
        <f ca="1">IF( ISNA( VLOOKUP( APIF_Import!$O391 &amp; APIF_Import!$G$1,Podesavanja!$AA$3:$AD$28, 4, 0)), "", VLOOKUP( APIF_Import!$C391, INDIRECT( "Lookup_" &amp; APIF_Import!$O391), VLOOKUP( APIF_Import!$O391 &amp; APIF_Import!$G$1,Podesavanja!$AA$3:$AD$28, 4, 0), 0))</f>
        <v/>
      </c>
      <c r="H391" s="230" t="str">
        <f ca="1">IF( ISNA( VLOOKUP( APIF_Import!$O391 &amp; APIF_Import!$H$1,Podesavanja!$AA$3:$AD$28, 4, 0)), "", VLOOKUP( APIF_Import!$C391, INDIRECT( "Lookup_" &amp; APIF_Import!$O391), VLOOKUP( APIF_Import!$O391 &amp; APIF_Import!$H$1,Podesavanja!$AA$3:$AD$28, 4, 0), 0))</f>
        <v/>
      </c>
      <c r="I391" s="230" t="str">
        <f ca="1">IF( ISNA( VLOOKUP( APIF_Import!$O391 &amp; APIF_Import!$I$1,Podesavanja!$AA$3:$AD$28, 4, 0)), "", VLOOKUP( APIF_Import!$C391, INDIRECT( "Lookup_" &amp; APIF_Import!$M391:$O391), VLOOKUP( APIF_Import!$O391 &amp; APIF_Import!$I$1,Podesavanja!$AA$3:$AD$28, 4, 0), 0))</f>
        <v/>
      </c>
      <c r="J391" s="230" t="str">
        <f ca="1">IF( ISNA( VLOOKUP( APIF_Import!$O391 &amp; APIF_Import!$J$1,Podesavanja!$AA$3:$AD$28, 4, 0)), "", VLOOKUP( APIF_Import!$C391, INDIRECT( "Lookup_" &amp; APIF_Import!$M391:$O391), VLOOKUP( APIF_Import!$O391 &amp; APIF_Import!$J$1,Podesavanja!$AA$3:$AD$28, 4, 0), 0))</f>
        <v/>
      </c>
      <c r="K391" s="230" t="str">
        <f ca="1">IF( ISNA( VLOOKUP( APIF_Import!$O391 &amp; APIF_Import!$K$1,Podesavanja!$AA$3:$AD$28, 4, 0)), "", VLOOKUP( APIF_Import!$C391, INDIRECT( "Lookup_" &amp; APIF_Import!$M391:$O391), VLOOKUP( APIF_Import!$O391 &amp; APIF_Import!$K$1,Podesavanja!$AA$3:$AD$28, 4, 0), 0))</f>
        <v/>
      </c>
      <c r="L391" s="230" t="str">
        <f ca="1">IF( ISNA( VLOOKUP( APIF_Import!$O391 &amp; APIF_Import!$L$1,Podesavanja!$AA$3:$AD$28, 4, 0)), "", VLOOKUP( APIF_Import!$C391, INDIRECT( "Lookup_" &amp; APIF_Import!$M391:$O391), VLOOKUP( APIF_Import!$O391 &amp; APIF_Import!$L$1,Podesavanja!$AA$3:$AD$28, 4, 0), 0))</f>
        <v/>
      </c>
      <c r="M391" s="230" t="str">
        <f ca="1">IF( ISNA( VLOOKUP( APIF_Import!$O391 &amp; APIF_Import!$M$1,Podesavanja!$AA$3:$AD$28, 4, 0)), "", VLOOKUP( APIF_Import!$C391, INDIRECT( "Lookup_" &amp; APIF_Import!$M391:$O391), VLOOKUP( APIF_Import!$O391 &amp; APIF_Import!$M$1,Podesavanja!$AA$3:$AD$28, 4, 0), 0))</f>
        <v/>
      </c>
      <c r="N391" s="8">
        <v>392</v>
      </c>
      <c r="O391" s="8" t="s">
        <v>1538</v>
      </c>
    </row>
    <row r="392" spans="2:15">
      <c r="B392" s="44">
        <f ca="1">VLOOKUP( APIF_Import!$O392, Podesavanja!$N$3:$Q$9, 4, 0)</f>
        <v>4</v>
      </c>
      <c r="C392" s="229">
        <f ca="1">VLOOKUP( APIF_Import!$N392, Aop!$A$2:$P$456, 4, 0)</f>
        <v>642</v>
      </c>
      <c r="D392" s="230" t="str">
        <f ca="1">IF( ISNA( VLOOKUP( APIF_Import!$O392 &amp; APIF_Import!$D$1,Podesavanja!$AA$3:$AD$28, 4, 0)), "", SUBSTITUTE( VALUE( VLOOKUP( APIF_Import!$C392, INDIRECT( "Lookup_" &amp; APIF_Import!$O392), VLOOKUP( APIF_Import!$O392 &amp; APIF_Import!$D$1,Podesavanja!$AA$3:$AD$28, 4, 0), 0)), ".", ","))</f>
        <v>34964</v>
      </c>
      <c r="E392" s="230">
        <f ca="1">IF( ISNA( VLOOKUP( APIF_Import!$O392 &amp; APIF_Import!$E$1,Podesavanja!$AA$3:$AD$28, 4, 0)), "", VLOOKUP( APIF_Import!$C392, INDIRECT( "Lookup_" &amp; APIF_Import!$O392), VLOOKUP( APIF_Import!$O392 &amp; APIF_Import!$E$1,Podesavanja!$AA$3:$AD$28, 4, 0), 0))</f>
        <v>12039</v>
      </c>
      <c r="F392" s="230" t="str">
        <f ca="1">IF( ISNA( VLOOKUP( APIF_Import!$O392 &amp; APIF_Import!$F$1,Podesavanja!$AA$3:$AD$28, 4, 0)), "", VLOOKUP( APIF_Import!$C392, INDIRECT( "Lookup_" &amp; APIF_Import!$O392), VLOOKUP( APIF_Import!$O392 &amp; APIF_Import!$F$1,Podesavanja!$AA$3:$AD$28, 4, 0), 0))</f>
        <v/>
      </c>
      <c r="G392" s="230" t="str">
        <f ca="1">IF( ISNA( VLOOKUP( APIF_Import!$O392 &amp; APIF_Import!$G$1,Podesavanja!$AA$3:$AD$28, 4, 0)), "", VLOOKUP( APIF_Import!$C392, INDIRECT( "Lookup_" &amp; APIF_Import!$O392), VLOOKUP( APIF_Import!$O392 &amp; APIF_Import!$G$1,Podesavanja!$AA$3:$AD$28, 4, 0), 0))</f>
        <v/>
      </c>
      <c r="H392" s="230" t="str">
        <f ca="1">IF( ISNA( VLOOKUP( APIF_Import!$O392 &amp; APIF_Import!$H$1,Podesavanja!$AA$3:$AD$28, 4, 0)), "", VLOOKUP( APIF_Import!$C392, INDIRECT( "Lookup_" &amp; APIF_Import!$O392), VLOOKUP( APIF_Import!$O392 &amp; APIF_Import!$H$1,Podesavanja!$AA$3:$AD$28, 4, 0), 0))</f>
        <v/>
      </c>
      <c r="I392" s="230" t="str">
        <f ca="1">IF( ISNA( VLOOKUP( APIF_Import!$O392 &amp; APIF_Import!$I$1,Podesavanja!$AA$3:$AD$28, 4, 0)), "", VLOOKUP( APIF_Import!$C392, INDIRECT( "Lookup_" &amp; APIF_Import!$M392:$O392), VLOOKUP( APIF_Import!$O392 &amp; APIF_Import!$I$1,Podesavanja!$AA$3:$AD$28, 4, 0), 0))</f>
        <v/>
      </c>
      <c r="J392" s="230" t="str">
        <f ca="1">IF( ISNA( VLOOKUP( APIF_Import!$O392 &amp; APIF_Import!$J$1,Podesavanja!$AA$3:$AD$28, 4, 0)), "", VLOOKUP( APIF_Import!$C392, INDIRECT( "Lookup_" &amp; APIF_Import!$M392:$O392), VLOOKUP( APIF_Import!$O392 &amp; APIF_Import!$J$1,Podesavanja!$AA$3:$AD$28, 4, 0), 0))</f>
        <v/>
      </c>
      <c r="K392" s="230" t="str">
        <f ca="1">IF( ISNA( VLOOKUP( APIF_Import!$O392 &amp; APIF_Import!$K$1,Podesavanja!$AA$3:$AD$28, 4, 0)), "", VLOOKUP( APIF_Import!$C392, INDIRECT( "Lookup_" &amp; APIF_Import!$M392:$O392), VLOOKUP( APIF_Import!$O392 &amp; APIF_Import!$K$1,Podesavanja!$AA$3:$AD$28, 4, 0), 0))</f>
        <v/>
      </c>
      <c r="L392" s="230" t="str">
        <f ca="1">IF( ISNA( VLOOKUP( APIF_Import!$O392 &amp; APIF_Import!$L$1,Podesavanja!$AA$3:$AD$28, 4, 0)), "", VLOOKUP( APIF_Import!$C392, INDIRECT( "Lookup_" &amp; APIF_Import!$M392:$O392), VLOOKUP( APIF_Import!$O392 &amp; APIF_Import!$L$1,Podesavanja!$AA$3:$AD$28, 4, 0), 0))</f>
        <v/>
      </c>
      <c r="M392" s="230" t="str">
        <f ca="1">IF( ISNA( VLOOKUP( APIF_Import!$O392 &amp; APIF_Import!$M$1,Podesavanja!$AA$3:$AD$28, 4, 0)), "", VLOOKUP( APIF_Import!$C392, INDIRECT( "Lookup_" &amp; APIF_Import!$M392:$O392), VLOOKUP( APIF_Import!$O392 &amp; APIF_Import!$M$1,Podesavanja!$AA$3:$AD$28, 4, 0), 0))</f>
        <v/>
      </c>
      <c r="N392" s="8">
        <v>393</v>
      </c>
      <c r="O392" s="8" t="s">
        <v>1538</v>
      </c>
    </row>
    <row r="393" spans="2:15">
      <c r="B393" s="44">
        <f ca="1">VLOOKUP( APIF_Import!$O393, Podesavanja!$N$3:$Q$9, 4, 0)</f>
        <v>4</v>
      </c>
      <c r="C393" s="229">
        <f ca="1">VLOOKUP( APIF_Import!$N393, Aop!$A$2:$P$456, 4, 0)</f>
        <v>643</v>
      </c>
      <c r="D393" s="230" t="str">
        <f ca="1">IF( ISNA( VLOOKUP( APIF_Import!$O393 &amp; APIF_Import!$D$1,Podesavanja!$AA$3:$AD$28, 4, 0)), "", SUBSTITUTE( VALUE( VLOOKUP( APIF_Import!$C393, INDIRECT( "Lookup_" &amp; APIF_Import!$O393), VLOOKUP( APIF_Import!$O393 &amp; APIF_Import!$D$1,Podesavanja!$AA$3:$AD$28, 4, 0), 0)), ".", ","))</f>
        <v>0</v>
      </c>
      <c r="E393" s="230">
        <f ca="1">IF( ISNA( VLOOKUP( APIF_Import!$O393 &amp; APIF_Import!$E$1,Podesavanja!$AA$3:$AD$28, 4, 0)), "", VLOOKUP( APIF_Import!$C393, INDIRECT( "Lookup_" &amp; APIF_Import!$O393), VLOOKUP( APIF_Import!$O393 &amp; APIF_Import!$E$1,Podesavanja!$AA$3:$AD$28, 4, 0), 0))</f>
        <v>0</v>
      </c>
      <c r="F393" s="230" t="str">
        <f ca="1">IF( ISNA( VLOOKUP( APIF_Import!$O393 &amp; APIF_Import!$F$1,Podesavanja!$AA$3:$AD$28, 4, 0)), "", VLOOKUP( APIF_Import!$C393, INDIRECT( "Lookup_" &amp; APIF_Import!$O393), VLOOKUP( APIF_Import!$O393 &amp; APIF_Import!$F$1,Podesavanja!$AA$3:$AD$28, 4, 0), 0))</f>
        <v/>
      </c>
      <c r="G393" s="230" t="str">
        <f ca="1">IF( ISNA( VLOOKUP( APIF_Import!$O393 &amp; APIF_Import!$G$1,Podesavanja!$AA$3:$AD$28, 4, 0)), "", VLOOKUP( APIF_Import!$C393, INDIRECT( "Lookup_" &amp; APIF_Import!$O393), VLOOKUP( APIF_Import!$O393 &amp; APIF_Import!$G$1,Podesavanja!$AA$3:$AD$28, 4, 0), 0))</f>
        <v/>
      </c>
      <c r="H393" s="230" t="str">
        <f ca="1">IF( ISNA( VLOOKUP( APIF_Import!$O393 &amp; APIF_Import!$H$1,Podesavanja!$AA$3:$AD$28, 4, 0)), "", VLOOKUP( APIF_Import!$C393, INDIRECT( "Lookup_" &amp; APIF_Import!$O393), VLOOKUP( APIF_Import!$O393 &amp; APIF_Import!$H$1,Podesavanja!$AA$3:$AD$28, 4, 0), 0))</f>
        <v/>
      </c>
      <c r="I393" s="230" t="str">
        <f ca="1">IF( ISNA( VLOOKUP( APIF_Import!$O393 &amp; APIF_Import!$I$1,Podesavanja!$AA$3:$AD$28, 4, 0)), "", VLOOKUP( APIF_Import!$C393, INDIRECT( "Lookup_" &amp; APIF_Import!$M393:$O393), VLOOKUP( APIF_Import!$O393 &amp; APIF_Import!$I$1,Podesavanja!$AA$3:$AD$28, 4, 0), 0))</f>
        <v/>
      </c>
      <c r="J393" s="230" t="str">
        <f ca="1">IF( ISNA( VLOOKUP( APIF_Import!$O393 &amp; APIF_Import!$J$1,Podesavanja!$AA$3:$AD$28, 4, 0)), "", VLOOKUP( APIF_Import!$C393, INDIRECT( "Lookup_" &amp; APIF_Import!$M393:$O393), VLOOKUP( APIF_Import!$O393 &amp; APIF_Import!$J$1,Podesavanja!$AA$3:$AD$28, 4, 0), 0))</f>
        <v/>
      </c>
      <c r="K393" s="230" t="str">
        <f ca="1">IF( ISNA( VLOOKUP( APIF_Import!$O393 &amp; APIF_Import!$K$1,Podesavanja!$AA$3:$AD$28, 4, 0)), "", VLOOKUP( APIF_Import!$C393, INDIRECT( "Lookup_" &amp; APIF_Import!$M393:$O393), VLOOKUP( APIF_Import!$O393 &amp; APIF_Import!$K$1,Podesavanja!$AA$3:$AD$28, 4, 0), 0))</f>
        <v/>
      </c>
      <c r="L393" s="230" t="str">
        <f ca="1">IF( ISNA( VLOOKUP( APIF_Import!$O393 &amp; APIF_Import!$L$1,Podesavanja!$AA$3:$AD$28, 4, 0)), "", VLOOKUP( APIF_Import!$C393, INDIRECT( "Lookup_" &amp; APIF_Import!$M393:$O393), VLOOKUP( APIF_Import!$O393 &amp; APIF_Import!$L$1,Podesavanja!$AA$3:$AD$28, 4, 0), 0))</f>
        <v/>
      </c>
      <c r="M393" s="230" t="str">
        <f ca="1">IF( ISNA( VLOOKUP( APIF_Import!$O393 &amp; APIF_Import!$M$1,Podesavanja!$AA$3:$AD$28, 4, 0)), "", VLOOKUP( APIF_Import!$C393, INDIRECT( "Lookup_" &amp; APIF_Import!$M393:$O393), VLOOKUP( APIF_Import!$O393 &amp; APIF_Import!$M$1,Podesavanja!$AA$3:$AD$28, 4, 0), 0))</f>
        <v/>
      </c>
      <c r="N393" s="8">
        <v>394</v>
      </c>
      <c r="O393" s="8" t="s">
        <v>1538</v>
      </c>
    </row>
    <row r="394" spans="2:15">
      <c r="B394" s="44">
        <f ca="1">VLOOKUP( APIF_Import!$O394, Podesavanja!$N$3:$Q$9, 4, 0)</f>
        <v>4</v>
      </c>
      <c r="C394" s="229">
        <f ca="1">VLOOKUP( APIF_Import!$N394, Aop!$A$2:$P$456, 4, 0)</f>
        <v>644</v>
      </c>
      <c r="D394" s="230" t="str">
        <f ca="1">IF( ISNA( VLOOKUP( APIF_Import!$O394 &amp; APIF_Import!$D$1,Podesavanja!$AA$3:$AD$28, 4, 0)), "", SUBSTITUTE( VALUE( VLOOKUP( APIF_Import!$C394, INDIRECT( "Lookup_" &amp; APIF_Import!$O394), VLOOKUP( APIF_Import!$O394 &amp; APIF_Import!$D$1,Podesavanja!$AA$3:$AD$28, 4, 0), 0)), ".", ","))</f>
        <v>234</v>
      </c>
      <c r="E394" s="230">
        <f ca="1">IF( ISNA( VLOOKUP( APIF_Import!$O394 &amp; APIF_Import!$E$1,Podesavanja!$AA$3:$AD$28, 4, 0)), "", VLOOKUP( APIF_Import!$C394, INDIRECT( "Lookup_" &amp; APIF_Import!$O394), VLOOKUP( APIF_Import!$O394 &amp; APIF_Import!$E$1,Podesavanja!$AA$3:$AD$28, 4, 0), 0))</f>
        <v>0</v>
      </c>
      <c r="F394" s="230" t="str">
        <f ca="1">IF( ISNA( VLOOKUP( APIF_Import!$O394 &amp; APIF_Import!$F$1,Podesavanja!$AA$3:$AD$28, 4, 0)), "", VLOOKUP( APIF_Import!$C394, INDIRECT( "Lookup_" &amp; APIF_Import!$O394), VLOOKUP( APIF_Import!$O394 &amp; APIF_Import!$F$1,Podesavanja!$AA$3:$AD$28, 4, 0), 0))</f>
        <v/>
      </c>
      <c r="G394" s="230" t="str">
        <f ca="1">IF( ISNA( VLOOKUP( APIF_Import!$O394 &amp; APIF_Import!$G$1,Podesavanja!$AA$3:$AD$28, 4, 0)), "", VLOOKUP( APIF_Import!$C394, INDIRECT( "Lookup_" &amp; APIF_Import!$O394), VLOOKUP( APIF_Import!$O394 &amp; APIF_Import!$G$1,Podesavanja!$AA$3:$AD$28, 4, 0), 0))</f>
        <v/>
      </c>
      <c r="H394" s="230" t="str">
        <f ca="1">IF( ISNA( VLOOKUP( APIF_Import!$O394 &amp; APIF_Import!$H$1,Podesavanja!$AA$3:$AD$28, 4, 0)), "", VLOOKUP( APIF_Import!$C394, INDIRECT( "Lookup_" &amp; APIF_Import!$O394), VLOOKUP( APIF_Import!$O394 &amp; APIF_Import!$H$1,Podesavanja!$AA$3:$AD$28, 4, 0), 0))</f>
        <v/>
      </c>
      <c r="I394" s="230" t="str">
        <f ca="1">IF( ISNA( VLOOKUP( APIF_Import!$O394 &amp; APIF_Import!$I$1,Podesavanja!$AA$3:$AD$28, 4, 0)), "", VLOOKUP( APIF_Import!$C394, INDIRECT( "Lookup_" &amp; APIF_Import!$M394:$O394), VLOOKUP( APIF_Import!$O394 &amp; APIF_Import!$I$1,Podesavanja!$AA$3:$AD$28, 4, 0), 0))</f>
        <v/>
      </c>
      <c r="J394" s="230" t="str">
        <f ca="1">IF( ISNA( VLOOKUP( APIF_Import!$O394 &amp; APIF_Import!$J$1,Podesavanja!$AA$3:$AD$28, 4, 0)), "", VLOOKUP( APIF_Import!$C394, INDIRECT( "Lookup_" &amp; APIF_Import!$M394:$O394), VLOOKUP( APIF_Import!$O394 &amp; APIF_Import!$J$1,Podesavanja!$AA$3:$AD$28, 4, 0), 0))</f>
        <v/>
      </c>
      <c r="K394" s="230" t="str">
        <f ca="1">IF( ISNA( VLOOKUP( APIF_Import!$O394 &amp; APIF_Import!$K$1,Podesavanja!$AA$3:$AD$28, 4, 0)), "", VLOOKUP( APIF_Import!$C394, INDIRECT( "Lookup_" &amp; APIF_Import!$M394:$O394), VLOOKUP( APIF_Import!$O394 &amp; APIF_Import!$K$1,Podesavanja!$AA$3:$AD$28, 4, 0), 0))</f>
        <v/>
      </c>
      <c r="L394" s="230" t="str">
        <f ca="1">IF( ISNA( VLOOKUP( APIF_Import!$O394 &amp; APIF_Import!$L$1,Podesavanja!$AA$3:$AD$28, 4, 0)), "", VLOOKUP( APIF_Import!$C394, INDIRECT( "Lookup_" &amp; APIF_Import!$M394:$O394), VLOOKUP( APIF_Import!$O394 &amp; APIF_Import!$L$1,Podesavanja!$AA$3:$AD$28, 4, 0), 0))</f>
        <v/>
      </c>
      <c r="M394" s="230" t="str">
        <f ca="1">IF( ISNA( VLOOKUP( APIF_Import!$O394 &amp; APIF_Import!$M$1,Podesavanja!$AA$3:$AD$28, 4, 0)), "", VLOOKUP( APIF_Import!$C394, INDIRECT( "Lookup_" &amp; APIF_Import!$M394:$O394), VLOOKUP( APIF_Import!$O394 &amp; APIF_Import!$M$1,Podesavanja!$AA$3:$AD$28, 4, 0), 0))</f>
        <v/>
      </c>
      <c r="N394" s="8">
        <v>395</v>
      </c>
      <c r="O394" s="8" t="s">
        <v>1538</v>
      </c>
    </row>
    <row r="395" spans="2:15">
      <c r="B395" s="44">
        <f ca="1">VLOOKUP( APIF_Import!$O395, Podesavanja!$N$3:$Q$9, 4, 0)</f>
        <v>4</v>
      </c>
      <c r="C395" s="229">
        <f ca="1">VLOOKUP( APIF_Import!$N395, Aop!$A$2:$P$456, 4, 0)</f>
        <v>645</v>
      </c>
      <c r="D395" s="230" t="str">
        <f ca="1">IF( ISNA( VLOOKUP( APIF_Import!$O395 &amp; APIF_Import!$D$1,Podesavanja!$AA$3:$AD$28, 4, 0)), "", SUBSTITUTE( VALUE( VLOOKUP( APIF_Import!$C395, INDIRECT( "Lookup_" &amp; APIF_Import!$O395), VLOOKUP( APIF_Import!$O395 &amp; APIF_Import!$D$1,Podesavanja!$AA$3:$AD$28, 4, 0), 0)), ".", ","))</f>
        <v>25997</v>
      </c>
      <c r="E395" s="230">
        <f ca="1">IF( ISNA( VLOOKUP( APIF_Import!$O395 &amp; APIF_Import!$E$1,Podesavanja!$AA$3:$AD$28, 4, 0)), "", VLOOKUP( APIF_Import!$C395, INDIRECT( "Lookup_" &amp; APIF_Import!$O395), VLOOKUP( APIF_Import!$O395 &amp; APIF_Import!$E$1,Podesavanja!$AA$3:$AD$28, 4, 0), 0))</f>
        <v>122000</v>
      </c>
      <c r="F395" s="230" t="str">
        <f ca="1">IF( ISNA( VLOOKUP( APIF_Import!$O395 &amp; APIF_Import!$F$1,Podesavanja!$AA$3:$AD$28, 4, 0)), "", VLOOKUP( APIF_Import!$C395, INDIRECT( "Lookup_" &amp; APIF_Import!$O395), VLOOKUP( APIF_Import!$O395 &amp; APIF_Import!$F$1,Podesavanja!$AA$3:$AD$28, 4, 0), 0))</f>
        <v/>
      </c>
      <c r="G395" s="230" t="str">
        <f ca="1">IF( ISNA( VLOOKUP( APIF_Import!$O395 &amp; APIF_Import!$G$1,Podesavanja!$AA$3:$AD$28, 4, 0)), "", VLOOKUP( APIF_Import!$C395, INDIRECT( "Lookup_" &amp; APIF_Import!$O395), VLOOKUP( APIF_Import!$O395 &amp; APIF_Import!$G$1,Podesavanja!$AA$3:$AD$28, 4, 0), 0))</f>
        <v/>
      </c>
      <c r="H395" s="230" t="str">
        <f ca="1">IF( ISNA( VLOOKUP( APIF_Import!$O395 &amp; APIF_Import!$H$1,Podesavanja!$AA$3:$AD$28, 4, 0)), "", VLOOKUP( APIF_Import!$C395, INDIRECT( "Lookup_" &amp; APIF_Import!$O395), VLOOKUP( APIF_Import!$O395 &amp; APIF_Import!$H$1,Podesavanja!$AA$3:$AD$28, 4, 0), 0))</f>
        <v/>
      </c>
      <c r="I395" s="230" t="str">
        <f ca="1">IF( ISNA( VLOOKUP( APIF_Import!$O395 &amp; APIF_Import!$I$1,Podesavanja!$AA$3:$AD$28, 4, 0)), "", VLOOKUP( APIF_Import!$C395, INDIRECT( "Lookup_" &amp; APIF_Import!$M395:$O395), VLOOKUP( APIF_Import!$O395 &amp; APIF_Import!$I$1,Podesavanja!$AA$3:$AD$28, 4, 0), 0))</f>
        <v/>
      </c>
      <c r="J395" s="230" t="str">
        <f ca="1">IF( ISNA( VLOOKUP( APIF_Import!$O395 &amp; APIF_Import!$J$1,Podesavanja!$AA$3:$AD$28, 4, 0)), "", VLOOKUP( APIF_Import!$C395, INDIRECT( "Lookup_" &amp; APIF_Import!$M395:$O395), VLOOKUP( APIF_Import!$O395 &amp; APIF_Import!$J$1,Podesavanja!$AA$3:$AD$28, 4, 0), 0))</f>
        <v/>
      </c>
      <c r="K395" s="230" t="str">
        <f ca="1">IF( ISNA( VLOOKUP( APIF_Import!$O395 &amp; APIF_Import!$K$1,Podesavanja!$AA$3:$AD$28, 4, 0)), "", VLOOKUP( APIF_Import!$C395, INDIRECT( "Lookup_" &amp; APIF_Import!$M395:$O395), VLOOKUP( APIF_Import!$O395 &amp; APIF_Import!$K$1,Podesavanja!$AA$3:$AD$28, 4, 0), 0))</f>
        <v/>
      </c>
      <c r="L395" s="230" t="str">
        <f ca="1">IF( ISNA( VLOOKUP( APIF_Import!$O395 &amp; APIF_Import!$L$1,Podesavanja!$AA$3:$AD$28, 4, 0)), "", VLOOKUP( APIF_Import!$C395, INDIRECT( "Lookup_" &amp; APIF_Import!$M395:$O395), VLOOKUP( APIF_Import!$O395 &amp; APIF_Import!$L$1,Podesavanja!$AA$3:$AD$28, 4, 0), 0))</f>
        <v/>
      </c>
      <c r="M395" s="230" t="str">
        <f ca="1">IF( ISNA( VLOOKUP( APIF_Import!$O395 &amp; APIF_Import!$M$1,Podesavanja!$AA$3:$AD$28, 4, 0)), "", VLOOKUP( APIF_Import!$C395, INDIRECT( "Lookup_" &amp; APIF_Import!$M395:$O395), VLOOKUP( APIF_Import!$O395 &amp; APIF_Import!$M$1,Podesavanja!$AA$3:$AD$28, 4, 0), 0))</f>
        <v/>
      </c>
      <c r="N395" s="8">
        <v>396</v>
      </c>
      <c r="O395" s="8" t="s">
        <v>1538</v>
      </c>
    </row>
    <row r="396" spans="2:15">
      <c r="B396" s="44">
        <f ca="1">VLOOKUP( APIF_Import!$O396, Podesavanja!$N$3:$Q$9, 4, 0)</f>
        <v>4</v>
      </c>
      <c r="C396" s="229">
        <f ca="1">VLOOKUP( APIF_Import!$N396, Aop!$A$2:$P$456, 4, 0)</f>
        <v>646</v>
      </c>
      <c r="D396" s="230" t="str">
        <f ca="1">IF( ISNA( VLOOKUP( APIF_Import!$O396 &amp; APIF_Import!$D$1,Podesavanja!$AA$3:$AD$28, 4, 0)), "", SUBSTITUTE( VALUE( VLOOKUP( APIF_Import!$C396, INDIRECT( "Lookup_" &amp; APIF_Import!$O396), VLOOKUP( APIF_Import!$O396 &amp; APIF_Import!$D$1,Podesavanja!$AA$3:$AD$28, 4, 0), 0)), ".", ","))</f>
        <v>0</v>
      </c>
      <c r="E396" s="230">
        <f ca="1">IF( ISNA( VLOOKUP( APIF_Import!$O396 &amp; APIF_Import!$E$1,Podesavanja!$AA$3:$AD$28, 4, 0)), "", VLOOKUP( APIF_Import!$C396, INDIRECT( "Lookup_" &amp; APIF_Import!$O396), VLOOKUP( APIF_Import!$O396 &amp; APIF_Import!$E$1,Podesavanja!$AA$3:$AD$28, 4, 0), 0))</f>
        <v>0</v>
      </c>
      <c r="F396" s="230" t="str">
        <f ca="1">IF( ISNA( VLOOKUP( APIF_Import!$O396 &amp; APIF_Import!$F$1,Podesavanja!$AA$3:$AD$28, 4, 0)), "", VLOOKUP( APIF_Import!$C396, INDIRECT( "Lookup_" &amp; APIF_Import!$O396), VLOOKUP( APIF_Import!$O396 &amp; APIF_Import!$F$1,Podesavanja!$AA$3:$AD$28, 4, 0), 0))</f>
        <v/>
      </c>
      <c r="G396" s="230" t="str">
        <f ca="1">IF( ISNA( VLOOKUP( APIF_Import!$O396 &amp; APIF_Import!$G$1,Podesavanja!$AA$3:$AD$28, 4, 0)), "", VLOOKUP( APIF_Import!$C396, INDIRECT( "Lookup_" &amp; APIF_Import!$O396), VLOOKUP( APIF_Import!$O396 &amp; APIF_Import!$G$1,Podesavanja!$AA$3:$AD$28, 4, 0), 0))</f>
        <v/>
      </c>
      <c r="H396" s="230" t="str">
        <f ca="1">IF( ISNA( VLOOKUP( APIF_Import!$O396 &amp; APIF_Import!$H$1,Podesavanja!$AA$3:$AD$28, 4, 0)), "", VLOOKUP( APIF_Import!$C396, INDIRECT( "Lookup_" &amp; APIF_Import!$O396), VLOOKUP( APIF_Import!$O396 &amp; APIF_Import!$H$1,Podesavanja!$AA$3:$AD$28, 4, 0), 0))</f>
        <v/>
      </c>
      <c r="I396" s="230" t="str">
        <f ca="1">IF( ISNA( VLOOKUP( APIF_Import!$O396 &amp; APIF_Import!$I$1,Podesavanja!$AA$3:$AD$28, 4, 0)), "", VLOOKUP( APIF_Import!$C396, INDIRECT( "Lookup_" &amp; APIF_Import!$M396:$O396), VLOOKUP( APIF_Import!$O396 &amp; APIF_Import!$I$1,Podesavanja!$AA$3:$AD$28, 4, 0), 0))</f>
        <v/>
      </c>
      <c r="J396" s="230" t="str">
        <f ca="1">IF( ISNA( VLOOKUP( APIF_Import!$O396 &amp; APIF_Import!$J$1,Podesavanja!$AA$3:$AD$28, 4, 0)), "", VLOOKUP( APIF_Import!$C396, INDIRECT( "Lookup_" &amp; APIF_Import!$M396:$O396), VLOOKUP( APIF_Import!$O396 &amp; APIF_Import!$J$1,Podesavanja!$AA$3:$AD$28, 4, 0), 0))</f>
        <v/>
      </c>
      <c r="K396" s="230" t="str">
        <f ca="1">IF( ISNA( VLOOKUP( APIF_Import!$O396 &amp; APIF_Import!$K$1,Podesavanja!$AA$3:$AD$28, 4, 0)), "", VLOOKUP( APIF_Import!$C396, INDIRECT( "Lookup_" &amp; APIF_Import!$M396:$O396), VLOOKUP( APIF_Import!$O396 &amp; APIF_Import!$K$1,Podesavanja!$AA$3:$AD$28, 4, 0), 0))</f>
        <v/>
      </c>
      <c r="L396" s="230" t="str">
        <f ca="1">IF( ISNA( VLOOKUP( APIF_Import!$O396 &amp; APIF_Import!$L$1,Podesavanja!$AA$3:$AD$28, 4, 0)), "", VLOOKUP( APIF_Import!$C396, INDIRECT( "Lookup_" &amp; APIF_Import!$M396:$O396), VLOOKUP( APIF_Import!$O396 &amp; APIF_Import!$L$1,Podesavanja!$AA$3:$AD$28, 4, 0), 0))</f>
        <v/>
      </c>
      <c r="M396" s="230" t="str">
        <f ca="1">IF( ISNA( VLOOKUP( APIF_Import!$O396 &amp; APIF_Import!$M$1,Podesavanja!$AA$3:$AD$28, 4, 0)), "", VLOOKUP( APIF_Import!$C396, INDIRECT( "Lookup_" &amp; APIF_Import!$M396:$O396), VLOOKUP( APIF_Import!$O396 &amp; APIF_Import!$M$1,Podesavanja!$AA$3:$AD$28, 4, 0), 0))</f>
        <v/>
      </c>
      <c r="N396" s="8">
        <v>397</v>
      </c>
      <c r="O396" s="8" t="s">
        <v>1538</v>
      </c>
    </row>
    <row r="397" spans="2:15">
      <c r="B397" s="44">
        <f ca="1">VLOOKUP( APIF_Import!$O397, Podesavanja!$N$3:$Q$9, 4, 0)</f>
        <v>4</v>
      </c>
      <c r="C397" s="229">
        <f ca="1">VLOOKUP( APIF_Import!$N397, Aop!$A$2:$P$456, 4, 0)</f>
        <v>647</v>
      </c>
      <c r="D397" s="230" t="str">
        <f ca="1">IF( ISNA( VLOOKUP( APIF_Import!$O397 &amp; APIF_Import!$D$1,Podesavanja!$AA$3:$AD$28, 4, 0)), "", SUBSTITUTE( VALUE( VLOOKUP( APIF_Import!$C397, INDIRECT( "Lookup_" &amp; APIF_Import!$O397), VLOOKUP( APIF_Import!$O397 &amp; APIF_Import!$D$1,Podesavanja!$AA$3:$AD$28, 4, 0), 0)), ".", ","))</f>
        <v>451386</v>
      </c>
      <c r="E397" s="230">
        <f ca="1">IF( ISNA( VLOOKUP( APIF_Import!$O397 &amp; APIF_Import!$E$1,Podesavanja!$AA$3:$AD$28, 4, 0)), "", VLOOKUP( APIF_Import!$C397, INDIRECT( "Lookup_" &amp; APIF_Import!$O397), VLOOKUP( APIF_Import!$O397 &amp; APIF_Import!$E$1,Podesavanja!$AA$3:$AD$28, 4, 0), 0))</f>
        <v>1345</v>
      </c>
      <c r="F397" s="230" t="str">
        <f ca="1">IF( ISNA( VLOOKUP( APIF_Import!$O397 &amp; APIF_Import!$F$1,Podesavanja!$AA$3:$AD$28, 4, 0)), "", VLOOKUP( APIF_Import!$C397, INDIRECT( "Lookup_" &amp; APIF_Import!$O397), VLOOKUP( APIF_Import!$O397 &amp; APIF_Import!$F$1,Podesavanja!$AA$3:$AD$28, 4, 0), 0))</f>
        <v/>
      </c>
      <c r="G397" s="230" t="str">
        <f ca="1">IF( ISNA( VLOOKUP( APIF_Import!$O397 &amp; APIF_Import!$G$1,Podesavanja!$AA$3:$AD$28, 4, 0)), "", VLOOKUP( APIF_Import!$C397, INDIRECT( "Lookup_" &amp; APIF_Import!$O397), VLOOKUP( APIF_Import!$O397 &amp; APIF_Import!$G$1,Podesavanja!$AA$3:$AD$28, 4, 0), 0))</f>
        <v/>
      </c>
      <c r="H397" s="230" t="str">
        <f ca="1">IF( ISNA( VLOOKUP( APIF_Import!$O397 &amp; APIF_Import!$H$1,Podesavanja!$AA$3:$AD$28, 4, 0)), "", VLOOKUP( APIF_Import!$C397, INDIRECT( "Lookup_" &amp; APIF_Import!$O397), VLOOKUP( APIF_Import!$O397 &amp; APIF_Import!$H$1,Podesavanja!$AA$3:$AD$28, 4, 0), 0))</f>
        <v/>
      </c>
      <c r="I397" s="230" t="str">
        <f ca="1">IF( ISNA( VLOOKUP( APIF_Import!$O397 &amp; APIF_Import!$I$1,Podesavanja!$AA$3:$AD$28, 4, 0)), "", VLOOKUP( APIF_Import!$C397, INDIRECT( "Lookup_" &amp; APIF_Import!$M397:$O397), VLOOKUP( APIF_Import!$O397 &amp; APIF_Import!$I$1,Podesavanja!$AA$3:$AD$28, 4, 0), 0))</f>
        <v/>
      </c>
      <c r="J397" s="230" t="str">
        <f ca="1">IF( ISNA( VLOOKUP( APIF_Import!$O397 &amp; APIF_Import!$J$1,Podesavanja!$AA$3:$AD$28, 4, 0)), "", VLOOKUP( APIF_Import!$C397, INDIRECT( "Lookup_" &amp; APIF_Import!$M397:$O397), VLOOKUP( APIF_Import!$O397 &amp; APIF_Import!$J$1,Podesavanja!$AA$3:$AD$28, 4, 0), 0))</f>
        <v/>
      </c>
      <c r="K397" s="230" t="str">
        <f ca="1">IF( ISNA( VLOOKUP( APIF_Import!$O397 &amp; APIF_Import!$K$1,Podesavanja!$AA$3:$AD$28, 4, 0)), "", VLOOKUP( APIF_Import!$C397, INDIRECT( "Lookup_" &amp; APIF_Import!$M397:$O397), VLOOKUP( APIF_Import!$O397 &amp; APIF_Import!$K$1,Podesavanja!$AA$3:$AD$28, 4, 0), 0))</f>
        <v/>
      </c>
      <c r="L397" s="230" t="str">
        <f ca="1">IF( ISNA( VLOOKUP( APIF_Import!$O397 &amp; APIF_Import!$L$1,Podesavanja!$AA$3:$AD$28, 4, 0)), "", VLOOKUP( APIF_Import!$C397, INDIRECT( "Lookup_" &amp; APIF_Import!$M397:$O397), VLOOKUP( APIF_Import!$O397 &amp; APIF_Import!$L$1,Podesavanja!$AA$3:$AD$28, 4, 0), 0))</f>
        <v/>
      </c>
      <c r="M397" s="230" t="str">
        <f ca="1">IF( ISNA( VLOOKUP( APIF_Import!$O397 &amp; APIF_Import!$M$1,Podesavanja!$AA$3:$AD$28, 4, 0)), "", VLOOKUP( APIF_Import!$C397, INDIRECT( "Lookup_" &amp; APIF_Import!$M397:$O397), VLOOKUP( APIF_Import!$O397 &amp; APIF_Import!$M$1,Podesavanja!$AA$3:$AD$28, 4, 0), 0))</f>
        <v/>
      </c>
      <c r="N397" s="8">
        <v>398</v>
      </c>
      <c r="O397" s="8" t="s">
        <v>1538</v>
      </c>
    </row>
    <row r="398" spans="2:15">
      <c r="B398" s="44">
        <f ca="1">VLOOKUP( APIF_Import!$O398, Podesavanja!$N$3:$Q$9, 4, 0)</f>
        <v>4</v>
      </c>
      <c r="C398" s="229">
        <f ca="1">VLOOKUP( APIF_Import!$N398, Aop!$A$2:$P$456, 4, 0)</f>
        <v>648</v>
      </c>
      <c r="D398" s="230" t="str">
        <f ca="1">IF( ISNA( VLOOKUP( APIF_Import!$O398 &amp; APIF_Import!$D$1,Podesavanja!$AA$3:$AD$28, 4, 0)), "", SUBSTITUTE( VALUE( VLOOKUP( APIF_Import!$C398, INDIRECT( "Lookup_" &amp; APIF_Import!$O398), VLOOKUP( APIF_Import!$O398 &amp; APIF_Import!$D$1,Podesavanja!$AA$3:$AD$28, 4, 0), 0)), ".", ","))</f>
        <v>0</v>
      </c>
      <c r="E398" s="230">
        <f ca="1">IF( ISNA( VLOOKUP( APIF_Import!$O398 &amp; APIF_Import!$E$1,Podesavanja!$AA$3:$AD$28, 4, 0)), "", VLOOKUP( APIF_Import!$C398, INDIRECT( "Lookup_" &amp; APIF_Import!$O398), VLOOKUP( APIF_Import!$O398 &amp; APIF_Import!$E$1,Podesavanja!$AA$3:$AD$28, 4, 0), 0))</f>
        <v>0</v>
      </c>
      <c r="F398" s="230" t="str">
        <f ca="1">IF( ISNA( VLOOKUP( APIF_Import!$O398 &amp; APIF_Import!$F$1,Podesavanja!$AA$3:$AD$28, 4, 0)), "", VLOOKUP( APIF_Import!$C398, INDIRECT( "Lookup_" &amp; APIF_Import!$O398), VLOOKUP( APIF_Import!$O398 &amp; APIF_Import!$F$1,Podesavanja!$AA$3:$AD$28, 4, 0), 0))</f>
        <v/>
      </c>
      <c r="G398" s="230" t="str">
        <f ca="1">IF( ISNA( VLOOKUP( APIF_Import!$O398 &amp; APIF_Import!$G$1,Podesavanja!$AA$3:$AD$28, 4, 0)), "", VLOOKUP( APIF_Import!$C398, INDIRECT( "Lookup_" &amp; APIF_Import!$O398), VLOOKUP( APIF_Import!$O398 &amp; APIF_Import!$G$1,Podesavanja!$AA$3:$AD$28, 4, 0), 0))</f>
        <v/>
      </c>
      <c r="H398" s="230" t="str">
        <f ca="1">IF( ISNA( VLOOKUP( APIF_Import!$O398 &amp; APIF_Import!$H$1,Podesavanja!$AA$3:$AD$28, 4, 0)), "", VLOOKUP( APIF_Import!$C398, INDIRECT( "Lookup_" &amp; APIF_Import!$O398), VLOOKUP( APIF_Import!$O398 &amp; APIF_Import!$H$1,Podesavanja!$AA$3:$AD$28, 4, 0), 0))</f>
        <v/>
      </c>
      <c r="I398" s="230" t="str">
        <f ca="1">IF( ISNA( VLOOKUP( APIF_Import!$O398 &amp; APIF_Import!$I$1,Podesavanja!$AA$3:$AD$28, 4, 0)), "", VLOOKUP( APIF_Import!$C398, INDIRECT( "Lookup_" &amp; APIF_Import!$M398:$O398), VLOOKUP( APIF_Import!$O398 &amp; APIF_Import!$I$1,Podesavanja!$AA$3:$AD$28, 4, 0), 0))</f>
        <v/>
      </c>
      <c r="J398" s="230" t="str">
        <f ca="1">IF( ISNA( VLOOKUP( APIF_Import!$O398 &amp; APIF_Import!$J$1,Podesavanja!$AA$3:$AD$28, 4, 0)), "", VLOOKUP( APIF_Import!$C398, INDIRECT( "Lookup_" &amp; APIF_Import!$M398:$O398), VLOOKUP( APIF_Import!$O398 &amp; APIF_Import!$J$1,Podesavanja!$AA$3:$AD$28, 4, 0), 0))</f>
        <v/>
      </c>
      <c r="K398" s="230" t="str">
        <f ca="1">IF( ISNA( VLOOKUP( APIF_Import!$O398 &amp; APIF_Import!$K$1,Podesavanja!$AA$3:$AD$28, 4, 0)), "", VLOOKUP( APIF_Import!$C398, INDIRECT( "Lookup_" &amp; APIF_Import!$M398:$O398), VLOOKUP( APIF_Import!$O398 &amp; APIF_Import!$K$1,Podesavanja!$AA$3:$AD$28, 4, 0), 0))</f>
        <v/>
      </c>
      <c r="L398" s="230" t="str">
        <f ca="1">IF( ISNA( VLOOKUP( APIF_Import!$O398 &amp; APIF_Import!$L$1,Podesavanja!$AA$3:$AD$28, 4, 0)), "", VLOOKUP( APIF_Import!$C398, INDIRECT( "Lookup_" &amp; APIF_Import!$M398:$O398), VLOOKUP( APIF_Import!$O398 &amp; APIF_Import!$L$1,Podesavanja!$AA$3:$AD$28, 4, 0), 0))</f>
        <v/>
      </c>
      <c r="M398" s="230" t="str">
        <f ca="1">IF( ISNA( VLOOKUP( APIF_Import!$O398 &amp; APIF_Import!$M$1,Podesavanja!$AA$3:$AD$28, 4, 0)), "", VLOOKUP( APIF_Import!$C398, INDIRECT( "Lookup_" &amp; APIF_Import!$M398:$O398), VLOOKUP( APIF_Import!$O398 &amp; APIF_Import!$M$1,Podesavanja!$AA$3:$AD$28, 4, 0), 0))</f>
        <v/>
      </c>
      <c r="N398" s="8">
        <v>399</v>
      </c>
      <c r="O398" s="8" t="s">
        <v>1538</v>
      </c>
    </row>
    <row r="399" spans="2:15">
      <c r="B399" s="44">
        <f ca="1">VLOOKUP( APIF_Import!$O399, Podesavanja!$N$3:$Q$9, 4, 0)</f>
        <v>4</v>
      </c>
      <c r="C399" s="229">
        <f ca="1">VLOOKUP( APIF_Import!$N399, Aop!$A$2:$P$456, 4, 0)</f>
        <v>649</v>
      </c>
      <c r="D399" s="230" t="str">
        <f ca="1">IF( ISNA( VLOOKUP( APIF_Import!$O399 &amp; APIF_Import!$D$1,Podesavanja!$AA$3:$AD$28, 4, 0)), "", SUBSTITUTE( VALUE( VLOOKUP( APIF_Import!$C399, INDIRECT( "Lookup_" &amp; APIF_Import!$O399), VLOOKUP( APIF_Import!$O399 &amp; APIF_Import!$D$1,Podesavanja!$AA$3:$AD$28, 4, 0), 0)), ".", ","))</f>
        <v>181036</v>
      </c>
      <c r="E399" s="230">
        <f ca="1">IF( ISNA( VLOOKUP( APIF_Import!$O399 &amp; APIF_Import!$E$1,Podesavanja!$AA$3:$AD$28, 4, 0)), "", VLOOKUP( APIF_Import!$C399, INDIRECT( "Lookup_" &amp; APIF_Import!$O399), VLOOKUP( APIF_Import!$O399 &amp; APIF_Import!$E$1,Podesavanja!$AA$3:$AD$28, 4, 0), 0))</f>
        <v>88719</v>
      </c>
      <c r="F399" s="230" t="str">
        <f ca="1">IF( ISNA( VLOOKUP( APIF_Import!$O399 &amp; APIF_Import!$F$1,Podesavanja!$AA$3:$AD$28, 4, 0)), "", VLOOKUP( APIF_Import!$C399, INDIRECT( "Lookup_" &amp; APIF_Import!$O399), VLOOKUP( APIF_Import!$O399 &amp; APIF_Import!$F$1,Podesavanja!$AA$3:$AD$28, 4, 0), 0))</f>
        <v/>
      </c>
      <c r="G399" s="230" t="str">
        <f ca="1">IF( ISNA( VLOOKUP( APIF_Import!$O399 &amp; APIF_Import!$G$1,Podesavanja!$AA$3:$AD$28, 4, 0)), "", VLOOKUP( APIF_Import!$C399, INDIRECT( "Lookup_" &amp; APIF_Import!$O399), VLOOKUP( APIF_Import!$O399 &amp; APIF_Import!$G$1,Podesavanja!$AA$3:$AD$28, 4, 0), 0))</f>
        <v/>
      </c>
      <c r="H399" s="230" t="str">
        <f ca="1">IF( ISNA( VLOOKUP( APIF_Import!$O399 &amp; APIF_Import!$H$1,Podesavanja!$AA$3:$AD$28, 4, 0)), "", VLOOKUP( APIF_Import!$C399, INDIRECT( "Lookup_" &amp; APIF_Import!$O399), VLOOKUP( APIF_Import!$O399 &amp; APIF_Import!$H$1,Podesavanja!$AA$3:$AD$28, 4, 0), 0))</f>
        <v/>
      </c>
      <c r="I399" s="230" t="str">
        <f ca="1">IF( ISNA( VLOOKUP( APIF_Import!$O399 &amp; APIF_Import!$I$1,Podesavanja!$AA$3:$AD$28, 4, 0)), "", VLOOKUP( APIF_Import!$C399, INDIRECT( "Lookup_" &amp; APIF_Import!$M399:$O399), VLOOKUP( APIF_Import!$O399 &amp; APIF_Import!$I$1,Podesavanja!$AA$3:$AD$28, 4, 0), 0))</f>
        <v/>
      </c>
      <c r="J399" s="230" t="str">
        <f ca="1">IF( ISNA( VLOOKUP( APIF_Import!$O399 &amp; APIF_Import!$J$1,Podesavanja!$AA$3:$AD$28, 4, 0)), "", VLOOKUP( APIF_Import!$C399, INDIRECT( "Lookup_" &amp; APIF_Import!$M399:$O399), VLOOKUP( APIF_Import!$O399 &amp; APIF_Import!$J$1,Podesavanja!$AA$3:$AD$28, 4, 0), 0))</f>
        <v/>
      </c>
      <c r="K399" s="230" t="str">
        <f ca="1">IF( ISNA( VLOOKUP( APIF_Import!$O399 &amp; APIF_Import!$K$1,Podesavanja!$AA$3:$AD$28, 4, 0)), "", VLOOKUP( APIF_Import!$C399, INDIRECT( "Lookup_" &amp; APIF_Import!$M399:$O399), VLOOKUP( APIF_Import!$O399 &amp; APIF_Import!$K$1,Podesavanja!$AA$3:$AD$28, 4, 0), 0))</f>
        <v/>
      </c>
      <c r="L399" s="230" t="str">
        <f ca="1">IF( ISNA( VLOOKUP( APIF_Import!$O399 &amp; APIF_Import!$L$1,Podesavanja!$AA$3:$AD$28, 4, 0)), "", VLOOKUP( APIF_Import!$C399, INDIRECT( "Lookup_" &amp; APIF_Import!$M399:$O399), VLOOKUP( APIF_Import!$O399 &amp; APIF_Import!$L$1,Podesavanja!$AA$3:$AD$28, 4, 0), 0))</f>
        <v/>
      </c>
      <c r="M399" s="230" t="str">
        <f ca="1">IF( ISNA( VLOOKUP( APIF_Import!$O399 &amp; APIF_Import!$M$1,Podesavanja!$AA$3:$AD$28, 4, 0)), "", VLOOKUP( APIF_Import!$C399, INDIRECT( "Lookup_" &amp; APIF_Import!$M399:$O399), VLOOKUP( APIF_Import!$O399 &amp; APIF_Import!$M$1,Podesavanja!$AA$3:$AD$28, 4, 0), 0))</f>
        <v/>
      </c>
      <c r="N399" s="8">
        <v>400</v>
      </c>
      <c r="O399" s="8" t="s">
        <v>1538</v>
      </c>
    </row>
    <row r="400" spans="2:15">
      <c r="B400" s="44">
        <f ca="1">VLOOKUP( APIF_Import!$O400, Podesavanja!$N$3:$Q$9, 4, 0)</f>
        <v>4</v>
      </c>
      <c r="C400" s="229">
        <f ca="1">VLOOKUP( APIF_Import!$N400, Aop!$A$2:$P$456, 4, 0)</f>
        <v>650</v>
      </c>
      <c r="D400" s="230" t="str">
        <f ca="1">IF( ISNA( VLOOKUP( APIF_Import!$O400 &amp; APIF_Import!$D$1,Podesavanja!$AA$3:$AD$28, 4, 0)), "", SUBSTITUTE( VALUE( VLOOKUP( APIF_Import!$C400, INDIRECT( "Lookup_" &amp; APIF_Import!$O400), VLOOKUP( APIF_Import!$O400 &amp; APIF_Import!$D$1,Podesavanja!$AA$3:$AD$28, 4, 0), 0)), ".", ","))</f>
        <v>84370</v>
      </c>
      <c r="E400" s="230">
        <f ca="1">IF( ISNA( VLOOKUP( APIF_Import!$O400 &amp; APIF_Import!$E$1,Podesavanja!$AA$3:$AD$28, 4, 0)), "", VLOOKUP( APIF_Import!$C400, INDIRECT( "Lookup_" &amp; APIF_Import!$O400), VLOOKUP( APIF_Import!$O400 &amp; APIF_Import!$E$1,Podesavanja!$AA$3:$AD$28, 4, 0), 0))</f>
        <v>58112</v>
      </c>
      <c r="F400" s="230" t="str">
        <f ca="1">IF( ISNA( VLOOKUP( APIF_Import!$O400 &amp; APIF_Import!$F$1,Podesavanja!$AA$3:$AD$28, 4, 0)), "", VLOOKUP( APIF_Import!$C400, INDIRECT( "Lookup_" &amp; APIF_Import!$O400), VLOOKUP( APIF_Import!$O400 &amp; APIF_Import!$F$1,Podesavanja!$AA$3:$AD$28, 4, 0), 0))</f>
        <v/>
      </c>
      <c r="G400" s="230" t="str">
        <f ca="1">IF( ISNA( VLOOKUP( APIF_Import!$O400 &amp; APIF_Import!$G$1,Podesavanja!$AA$3:$AD$28, 4, 0)), "", VLOOKUP( APIF_Import!$C400, INDIRECT( "Lookup_" &amp; APIF_Import!$O400), VLOOKUP( APIF_Import!$O400 &amp; APIF_Import!$G$1,Podesavanja!$AA$3:$AD$28, 4, 0), 0))</f>
        <v/>
      </c>
      <c r="H400" s="230" t="str">
        <f ca="1">IF( ISNA( VLOOKUP( APIF_Import!$O400 &amp; APIF_Import!$H$1,Podesavanja!$AA$3:$AD$28, 4, 0)), "", VLOOKUP( APIF_Import!$C400, INDIRECT( "Lookup_" &amp; APIF_Import!$O400), VLOOKUP( APIF_Import!$O400 &amp; APIF_Import!$H$1,Podesavanja!$AA$3:$AD$28, 4, 0), 0))</f>
        <v/>
      </c>
      <c r="I400" s="230" t="str">
        <f ca="1">IF( ISNA( VLOOKUP( APIF_Import!$O400 &amp; APIF_Import!$I$1,Podesavanja!$AA$3:$AD$28, 4, 0)), "", VLOOKUP( APIF_Import!$C400, INDIRECT( "Lookup_" &amp; APIF_Import!$M400:$O400), VLOOKUP( APIF_Import!$O400 &amp; APIF_Import!$I$1,Podesavanja!$AA$3:$AD$28, 4, 0), 0))</f>
        <v/>
      </c>
      <c r="J400" s="230" t="str">
        <f ca="1">IF( ISNA( VLOOKUP( APIF_Import!$O400 &amp; APIF_Import!$J$1,Podesavanja!$AA$3:$AD$28, 4, 0)), "", VLOOKUP( APIF_Import!$C400, INDIRECT( "Lookup_" &amp; APIF_Import!$M400:$O400), VLOOKUP( APIF_Import!$O400 &amp; APIF_Import!$J$1,Podesavanja!$AA$3:$AD$28, 4, 0), 0))</f>
        <v/>
      </c>
      <c r="K400" s="230" t="str">
        <f ca="1">IF( ISNA( VLOOKUP( APIF_Import!$O400 &amp; APIF_Import!$K$1,Podesavanja!$AA$3:$AD$28, 4, 0)), "", VLOOKUP( APIF_Import!$C400, INDIRECT( "Lookup_" &amp; APIF_Import!$M400:$O400), VLOOKUP( APIF_Import!$O400 &amp; APIF_Import!$K$1,Podesavanja!$AA$3:$AD$28, 4, 0), 0))</f>
        <v/>
      </c>
      <c r="L400" s="230" t="str">
        <f ca="1">IF( ISNA( VLOOKUP( APIF_Import!$O400 &amp; APIF_Import!$L$1,Podesavanja!$AA$3:$AD$28, 4, 0)), "", VLOOKUP( APIF_Import!$C400, INDIRECT( "Lookup_" &amp; APIF_Import!$M400:$O400), VLOOKUP( APIF_Import!$O400 &amp; APIF_Import!$L$1,Podesavanja!$AA$3:$AD$28, 4, 0), 0))</f>
        <v/>
      </c>
      <c r="M400" s="230" t="str">
        <f ca="1">IF( ISNA( VLOOKUP( APIF_Import!$O400 &amp; APIF_Import!$M$1,Podesavanja!$AA$3:$AD$28, 4, 0)), "", VLOOKUP( APIF_Import!$C400, INDIRECT( "Lookup_" &amp; APIF_Import!$M400:$O400), VLOOKUP( APIF_Import!$O400 &amp; APIF_Import!$M$1,Podesavanja!$AA$3:$AD$28, 4, 0), 0))</f>
        <v/>
      </c>
      <c r="N400" s="8">
        <v>401</v>
      </c>
      <c r="O400" s="8" t="s">
        <v>1538</v>
      </c>
    </row>
    <row r="401" spans="2:15">
      <c r="B401" s="44">
        <f ca="1">VLOOKUP( APIF_Import!$O401, Podesavanja!$N$3:$Q$9, 4, 0)</f>
        <v>4</v>
      </c>
      <c r="C401" s="229">
        <f ca="1">VLOOKUP( APIF_Import!$N401, Aop!$A$2:$P$456, 4, 0)</f>
        <v>651</v>
      </c>
      <c r="D401" s="230" t="str">
        <f ca="1">IF( ISNA( VLOOKUP( APIF_Import!$O401 &amp; APIF_Import!$D$1,Podesavanja!$AA$3:$AD$28, 4, 0)), "", SUBSTITUTE( VALUE( VLOOKUP( APIF_Import!$C401, INDIRECT( "Lookup_" &amp; APIF_Import!$O401), VLOOKUP( APIF_Import!$O401 &amp; APIF_Import!$D$1,Podesavanja!$AA$3:$AD$28, 4, 0), 0)), ".", ","))</f>
        <v>872</v>
      </c>
      <c r="E401" s="230">
        <f ca="1">IF( ISNA( VLOOKUP( APIF_Import!$O401 &amp; APIF_Import!$E$1,Podesavanja!$AA$3:$AD$28, 4, 0)), "", VLOOKUP( APIF_Import!$C401, INDIRECT( "Lookup_" &amp; APIF_Import!$O401), VLOOKUP( APIF_Import!$O401 &amp; APIF_Import!$E$1,Podesavanja!$AA$3:$AD$28, 4, 0), 0))</f>
        <v>256</v>
      </c>
      <c r="F401" s="230" t="str">
        <f ca="1">IF( ISNA( VLOOKUP( APIF_Import!$O401 &amp; APIF_Import!$F$1,Podesavanja!$AA$3:$AD$28, 4, 0)), "", VLOOKUP( APIF_Import!$C401, INDIRECT( "Lookup_" &amp; APIF_Import!$O401), VLOOKUP( APIF_Import!$O401 &amp; APIF_Import!$F$1,Podesavanja!$AA$3:$AD$28, 4, 0), 0))</f>
        <v/>
      </c>
      <c r="G401" s="230" t="str">
        <f ca="1">IF( ISNA( VLOOKUP( APIF_Import!$O401 &amp; APIF_Import!$G$1,Podesavanja!$AA$3:$AD$28, 4, 0)), "", VLOOKUP( APIF_Import!$C401, INDIRECT( "Lookup_" &amp; APIF_Import!$O401), VLOOKUP( APIF_Import!$O401 &amp; APIF_Import!$G$1,Podesavanja!$AA$3:$AD$28, 4, 0), 0))</f>
        <v/>
      </c>
      <c r="H401" s="230" t="str">
        <f ca="1">IF( ISNA( VLOOKUP( APIF_Import!$O401 &amp; APIF_Import!$H$1,Podesavanja!$AA$3:$AD$28, 4, 0)), "", VLOOKUP( APIF_Import!$C401, INDIRECT( "Lookup_" &amp; APIF_Import!$O401), VLOOKUP( APIF_Import!$O401 &amp; APIF_Import!$H$1,Podesavanja!$AA$3:$AD$28, 4, 0), 0))</f>
        <v/>
      </c>
      <c r="I401" s="230" t="str">
        <f ca="1">IF( ISNA( VLOOKUP( APIF_Import!$O401 &amp; APIF_Import!$I$1,Podesavanja!$AA$3:$AD$28, 4, 0)), "", VLOOKUP( APIF_Import!$C401, INDIRECT( "Lookup_" &amp; APIF_Import!$M401:$O401), VLOOKUP( APIF_Import!$O401 &amp; APIF_Import!$I$1,Podesavanja!$AA$3:$AD$28, 4, 0), 0))</f>
        <v/>
      </c>
      <c r="J401" s="230" t="str">
        <f ca="1">IF( ISNA( VLOOKUP( APIF_Import!$O401 &amp; APIF_Import!$J$1,Podesavanja!$AA$3:$AD$28, 4, 0)), "", VLOOKUP( APIF_Import!$C401, INDIRECT( "Lookup_" &amp; APIF_Import!$M401:$O401), VLOOKUP( APIF_Import!$O401 &amp; APIF_Import!$J$1,Podesavanja!$AA$3:$AD$28, 4, 0), 0))</f>
        <v/>
      </c>
      <c r="K401" s="230" t="str">
        <f ca="1">IF( ISNA( VLOOKUP( APIF_Import!$O401 &amp; APIF_Import!$K$1,Podesavanja!$AA$3:$AD$28, 4, 0)), "", VLOOKUP( APIF_Import!$C401, INDIRECT( "Lookup_" &amp; APIF_Import!$M401:$O401), VLOOKUP( APIF_Import!$O401 &amp; APIF_Import!$K$1,Podesavanja!$AA$3:$AD$28, 4, 0), 0))</f>
        <v/>
      </c>
      <c r="L401" s="230" t="str">
        <f ca="1">IF( ISNA( VLOOKUP( APIF_Import!$O401 &amp; APIF_Import!$L$1,Podesavanja!$AA$3:$AD$28, 4, 0)), "", VLOOKUP( APIF_Import!$C401, INDIRECT( "Lookup_" &amp; APIF_Import!$M401:$O401), VLOOKUP( APIF_Import!$O401 &amp; APIF_Import!$L$1,Podesavanja!$AA$3:$AD$28, 4, 0), 0))</f>
        <v/>
      </c>
      <c r="M401" s="230" t="str">
        <f ca="1">IF( ISNA( VLOOKUP( APIF_Import!$O401 &amp; APIF_Import!$M$1,Podesavanja!$AA$3:$AD$28, 4, 0)), "", VLOOKUP( APIF_Import!$C401, INDIRECT( "Lookup_" &amp; APIF_Import!$M401:$O401), VLOOKUP( APIF_Import!$O401 &amp; APIF_Import!$M$1,Podesavanja!$AA$3:$AD$28, 4, 0), 0))</f>
        <v/>
      </c>
      <c r="N401" s="8">
        <v>402</v>
      </c>
      <c r="O401" s="8" t="s">
        <v>1538</v>
      </c>
    </row>
    <row r="402" spans="2:15">
      <c r="B402" s="44">
        <f ca="1">VLOOKUP( APIF_Import!$O402, Podesavanja!$N$3:$Q$9, 4, 0)</f>
        <v>4</v>
      </c>
      <c r="C402" s="229">
        <f ca="1">VLOOKUP( APIF_Import!$N402, Aop!$A$2:$P$456, 4, 0)</f>
        <v>652</v>
      </c>
      <c r="D402" s="230" t="str">
        <f ca="1">IF( ISNA( VLOOKUP( APIF_Import!$O402 &amp; APIF_Import!$D$1,Podesavanja!$AA$3:$AD$28, 4, 0)), "", SUBSTITUTE( VALUE( VLOOKUP( APIF_Import!$C402, INDIRECT( "Lookup_" &amp; APIF_Import!$O402), VLOOKUP( APIF_Import!$O402 &amp; APIF_Import!$D$1,Podesavanja!$AA$3:$AD$28, 4, 0), 0)), ".", ","))</f>
        <v>0</v>
      </c>
      <c r="E402" s="230">
        <f ca="1">IF( ISNA( VLOOKUP( APIF_Import!$O402 &amp; APIF_Import!$E$1,Podesavanja!$AA$3:$AD$28, 4, 0)), "", VLOOKUP( APIF_Import!$C402, INDIRECT( "Lookup_" &amp; APIF_Import!$O402), VLOOKUP( APIF_Import!$O402 &amp; APIF_Import!$E$1,Podesavanja!$AA$3:$AD$28, 4, 0), 0))</f>
        <v>0</v>
      </c>
      <c r="F402" s="230" t="str">
        <f ca="1">IF( ISNA( VLOOKUP( APIF_Import!$O402 &amp; APIF_Import!$F$1,Podesavanja!$AA$3:$AD$28, 4, 0)), "", VLOOKUP( APIF_Import!$C402, INDIRECT( "Lookup_" &amp; APIF_Import!$O402), VLOOKUP( APIF_Import!$O402 &amp; APIF_Import!$F$1,Podesavanja!$AA$3:$AD$28, 4, 0), 0))</f>
        <v/>
      </c>
      <c r="G402" s="230" t="str">
        <f ca="1">IF( ISNA( VLOOKUP( APIF_Import!$O402 &amp; APIF_Import!$G$1,Podesavanja!$AA$3:$AD$28, 4, 0)), "", VLOOKUP( APIF_Import!$C402, INDIRECT( "Lookup_" &amp; APIF_Import!$O402), VLOOKUP( APIF_Import!$O402 &amp; APIF_Import!$G$1,Podesavanja!$AA$3:$AD$28, 4, 0), 0))</f>
        <v/>
      </c>
      <c r="H402" s="230" t="str">
        <f ca="1">IF( ISNA( VLOOKUP( APIF_Import!$O402 &amp; APIF_Import!$H$1,Podesavanja!$AA$3:$AD$28, 4, 0)), "", VLOOKUP( APIF_Import!$C402, INDIRECT( "Lookup_" &amp; APIF_Import!$O402), VLOOKUP( APIF_Import!$O402 &amp; APIF_Import!$H$1,Podesavanja!$AA$3:$AD$28, 4, 0), 0))</f>
        <v/>
      </c>
      <c r="I402" s="230" t="str">
        <f ca="1">IF( ISNA( VLOOKUP( APIF_Import!$O402 &amp; APIF_Import!$I$1,Podesavanja!$AA$3:$AD$28, 4, 0)), "", VLOOKUP( APIF_Import!$C402, INDIRECT( "Lookup_" &amp; APIF_Import!$M402:$O402), VLOOKUP( APIF_Import!$O402 &amp; APIF_Import!$I$1,Podesavanja!$AA$3:$AD$28, 4, 0), 0))</f>
        <v/>
      </c>
      <c r="J402" s="230" t="str">
        <f ca="1">IF( ISNA( VLOOKUP( APIF_Import!$O402 &amp; APIF_Import!$J$1,Podesavanja!$AA$3:$AD$28, 4, 0)), "", VLOOKUP( APIF_Import!$C402, INDIRECT( "Lookup_" &amp; APIF_Import!$M402:$O402), VLOOKUP( APIF_Import!$O402 &amp; APIF_Import!$J$1,Podesavanja!$AA$3:$AD$28, 4, 0), 0))</f>
        <v/>
      </c>
      <c r="K402" s="230" t="str">
        <f ca="1">IF( ISNA( VLOOKUP( APIF_Import!$O402 &amp; APIF_Import!$K$1,Podesavanja!$AA$3:$AD$28, 4, 0)), "", VLOOKUP( APIF_Import!$C402, INDIRECT( "Lookup_" &amp; APIF_Import!$M402:$O402), VLOOKUP( APIF_Import!$O402 &amp; APIF_Import!$K$1,Podesavanja!$AA$3:$AD$28, 4, 0), 0))</f>
        <v/>
      </c>
      <c r="L402" s="230" t="str">
        <f ca="1">IF( ISNA( VLOOKUP( APIF_Import!$O402 &amp; APIF_Import!$L$1,Podesavanja!$AA$3:$AD$28, 4, 0)), "", VLOOKUP( APIF_Import!$C402, INDIRECT( "Lookup_" &amp; APIF_Import!$M402:$O402), VLOOKUP( APIF_Import!$O402 &amp; APIF_Import!$L$1,Podesavanja!$AA$3:$AD$28, 4, 0), 0))</f>
        <v/>
      </c>
      <c r="M402" s="230" t="str">
        <f ca="1">IF( ISNA( VLOOKUP( APIF_Import!$O402 &amp; APIF_Import!$M$1,Podesavanja!$AA$3:$AD$28, 4, 0)), "", VLOOKUP( APIF_Import!$C402, INDIRECT( "Lookup_" &amp; APIF_Import!$M402:$O402), VLOOKUP( APIF_Import!$O402 &amp; APIF_Import!$M$1,Podesavanja!$AA$3:$AD$28, 4, 0), 0))</f>
        <v/>
      </c>
      <c r="N402" s="8">
        <v>403</v>
      </c>
      <c r="O402" s="8" t="s">
        <v>1538</v>
      </c>
    </row>
    <row r="403" spans="2:15">
      <c r="B403" s="44">
        <f ca="1">VLOOKUP( APIF_Import!$O403, Podesavanja!$N$3:$Q$9, 4, 0)</f>
        <v>4</v>
      </c>
      <c r="C403" s="229">
        <f ca="1">VLOOKUP( APIF_Import!$N403, Aop!$A$2:$P$456, 4, 0)</f>
        <v>653</v>
      </c>
      <c r="D403" s="230" t="str">
        <f ca="1">IF( ISNA( VLOOKUP( APIF_Import!$O403 &amp; APIF_Import!$D$1,Podesavanja!$AA$3:$AD$28, 4, 0)), "", SUBSTITUTE( VALUE( VLOOKUP( APIF_Import!$C403, INDIRECT( "Lookup_" &amp; APIF_Import!$O403), VLOOKUP( APIF_Import!$O403 &amp; APIF_Import!$D$1,Podesavanja!$AA$3:$AD$28, 4, 0), 0)), ".", ","))</f>
        <v>4655</v>
      </c>
      <c r="E403" s="230">
        <f ca="1">IF( ISNA( VLOOKUP( APIF_Import!$O403 &amp; APIF_Import!$E$1,Podesavanja!$AA$3:$AD$28, 4, 0)), "", VLOOKUP( APIF_Import!$C403, INDIRECT( "Lookup_" &amp; APIF_Import!$O403), VLOOKUP( APIF_Import!$O403 &amp; APIF_Import!$E$1,Podesavanja!$AA$3:$AD$28, 4, 0), 0))</f>
        <v>5873</v>
      </c>
      <c r="F403" s="230" t="str">
        <f ca="1">IF( ISNA( VLOOKUP( APIF_Import!$O403 &amp; APIF_Import!$F$1,Podesavanja!$AA$3:$AD$28, 4, 0)), "", VLOOKUP( APIF_Import!$C403, INDIRECT( "Lookup_" &amp; APIF_Import!$O403), VLOOKUP( APIF_Import!$O403 &amp; APIF_Import!$F$1,Podesavanja!$AA$3:$AD$28, 4, 0), 0))</f>
        <v/>
      </c>
      <c r="G403" s="230" t="str">
        <f ca="1">IF( ISNA( VLOOKUP( APIF_Import!$O403 &amp; APIF_Import!$G$1,Podesavanja!$AA$3:$AD$28, 4, 0)), "", VLOOKUP( APIF_Import!$C403, INDIRECT( "Lookup_" &amp; APIF_Import!$O403), VLOOKUP( APIF_Import!$O403 &amp; APIF_Import!$G$1,Podesavanja!$AA$3:$AD$28, 4, 0), 0))</f>
        <v/>
      </c>
      <c r="H403" s="230" t="str">
        <f ca="1">IF( ISNA( VLOOKUP( APIF_Import!$O403 &amp; APIF_Import!$H$1,Podesavanja!$AA$3:$AD$28, 4, 0)), "", VLOOKUP( APIF_Import!$C403, INDIRECT( "Lookup_" &amp; APIF_Import!$O403), VLOOKUP( APIF_Import!$O403 &amp; APIF_Import!$H$1,Podesavanja!$AA$3:$AD$28, 4, 0), 0))</f>
        <v/>
      </c>
      <c r="I403" s="230" t="str">
        <f ca="1">IF( ISNA( VLOOKUP( APIF_Import!$O403 &amp; APIF_Import!$I$1,Podesavanja!$AA$3:$AD$28, 4, 0)), "", VLOOKUP( APIF_Import!$C403, INDIRECT( "Lookup_" &amp; APIF_Import!$M403:$O403), VLOOKUP( APIF_Import!$O403 &amp; APIF_Import!$I$1,Podesavanja!$AA$3:$AD$28, 4, 0), 0))</f>
        <v/>
      </c>
      <c r="J403" s="230" t="str">
        <f ca="1">IF( ISNA( VLOOKUP( APIF_Import!$O403 &amp; APIF_Import!$J$1,Podesavanja!$AA$3:$AD$28, 4, 0)), "", VLOOKUP( APIF_Import!$C403, INDIRECT( "Lookup_" &amp; APIF_Import!$M403:$O403), VLOOKUP( APIF_Import!$O403 &amp; APIF_Import!$J$1,Podesavanja!$AA$3:$AD$28, 4, 0), 0))</f>
        <v/>
      </c>
      <c r="K403" s="230" t="str">
        <f ca="1">IF( ISNA( VLOOKUP( APIF_Import!$O403 &amp; APIF_Import!$K$1,Podesavanja!$AA$3:$AD$28, 4, 0)), "", VLOOKUP( APIF_Import!$C403, INDIRECT( "Lookup_" &amp; APIF_Import!$M403:$O403), VLOOKUP( APIF_Import!$O403 &amp; APIF_Import!$K$1,Podesavanja!$AA$3:$AD$28, 4, 0), 0))</f>
        <v/>
      </c>
      <c r="L403" s="230" t="str">
        <f ca="1">IF( ISNA( VLOOKUP( APIF_Import!$O403 &amp; APIF_Import!$L$1,Podesavanja!$AA$3:$AD$28, 4, 0)), "", VLOOKUP( APIF_Import!$C403, INDIRECT( "Lookup_" &amp; APIF_Import!$M403:$O403), VLOOKUP( APIF_Import!$O403 &amp; APIF_Import!$L$1,Podesavanja!$AA$3:$AD$28, 4, 0), 0))</f>
        <v/>
      </c>
      <c r="M403" s="230" t="str">
        <f ca="1">IF( ISNA( VLOOKUP( APIF_Import!$O403 &amp; APIF_Import!$M$1,Podesavanja!$AA$3:$AD$28, 4, 0)), "", VLOOKUP( APIF_Import!$C403, INDIRECT( "Lookup_" &amp; APIF_Import!$M403:$O403), VLOOKUP( APIF_Import!$O403 &amp; APIF_Import!$M$1,Podesavanja!$AA$3:$AD$28, 4, 0), 0))</f>
        <v/>
      </c>
      <c r="N403" s="8">
        <v>404</v>
      </c>
      <c r="O403" s="8" t="s">
        <v>1538</v>
      </c>
    </row>
    <row r="404" spans="2:15">
      <c r="B404" s="44">
        <f ca="1">VLOOKUP( APIF_Import!$O404, Podesavanja!$N$3:$Q$9, 4, 0)</f>
        <v>4</v>
      </c>
      <c r="C404" s="229">
        <f ca="1">VLOOKUP( APIF_Import!$N404, Aop!$A$2:$P$456, 4, 0)</f>
        <v>654</v>
      </c>
      <c r="D404" s="230" t="str">
        <f ca="1">IF( ISNA( VLOOKUP( APIF_Import!$O404 &amp; APIF_Import!$D$1,Podesavanja!$AA$3:$AD$28, 4, 0)), "", SUBSTITUTE( VALUE( VLOOKUP( APIF_Import!$C404, INDIRECT( "Lookup_" &amp; APIF_Import!$O404), VLOOKUP( APIF_Import!$O404 &amp; APIF_Import!$D$1,Podesavanja!$AA$3:$AD$28, 4, 0), 0)), ".", ","))</f>
        <v>5852</v>
      </c>
      <c r="E404" s="230">
        <f ca="1">IF( ISNA( VLOOKUP( APIF_Import!$O404 &amp; APIF_Import!$E$1,Podesavanja!$AA$3:$AD$28, 4, 0)), "", VLOOKUP( APIF_Import!$C404, INDIRECT( "Lookup_" &amp; APIF_Import!$O404), VLOOKUP( APIF_Import!$O404 &amp; APIF_Import!$E$1,Podesavanja!$AA$3:$AD$28, 4, 0), 0))</f>
        <v>4374</v>
      </c>
      <c r="F404" s="230" t="str">
        <f ca="1">IF( ISNA( VLOOKUP( APIF_Import!$O404 &amp; APIF_Import!$F$1,Podesavanja!$AA$3:$AD$28, 4, 0)), "", VLOOKUP( APIF_Import!$C404, INDIRECT( "Lookup_" &amp; APIF_Import!$O404), VLOOKUP( APIF_Import!$O404 &amp; APIF_Import!$F$1,Podesavanja!$AA$3:$AD$28, 4, 0), 0))</f>
        <v/>
      </c>
      <c r="G404" s="230" t="str">
        <f ca="1">IF( ISNA( VLOOKUP( APIF_Import!$O404 &amp; APIF_Import!$G$1,Podesavanja!$AA$3:$AD$28, 4, 0)), "", VLOOKUP( APIF_Import!$C404, INDIRECT( "Lookup_" &amp; APIF_Import!$O404), VLOOKUP( APIF_Import!$O404 &amp; APIF_Import!$G$1,Podesavanja!$AA$3:$AD$28, 4, 0), 0))</f>
        <v/>
      </c>
      <c r="H404" s="230" t="str">
        <f ca="1">IF( ISNA( VLOOKUP( APIF_Import!$O404 &amp; APIF_Import!$H$1,Podesavanja!$AA$3:$AD$28, 4, 0)), "", VLOOKUP( APIF_Import!$C404, INDIRECT( "Lookup_" &amp; APIF_Import!$O404), VLOOKUP( APIF_Import!$O404 &amp; APIF_Import!$H$1,Podesavanja!$AA$3:$AD$28, 4, 0), 0))</f>
        <v/>
      </c>
      <c r="I404" s="230" t="str">
        <f ca="1">IF( ISNA( VLOOKUP( APIF_Import!$O404 &amp; APIF_Import!$I$1,Podesavanja!$AA$3:$AD$28, 4, 0)), "", VLOOKUP( APIF_Import!$C404, INDIRECT( "Lookup_" &amp; APIF_Import!$M404:$O404), VLOOKUP( APIF_Import!$O404 &amp; APIF_Import!$I$1,Podesavanja!$AA$3:$AD$28, 4, 0), 0))</f>
        <v/>
      </c>
      <c r="J404" s="230" t="str">
        <f ca="1">IF( ISNA( VLOOKUP( APIF_Import!$O404 &amp; APIF_Import!$J$1,Podesavanja!$AA$3:$AD$28, 4, 0)), "", VLOOKUP( APIF_Import!$C404, INDIRECT( "Lookup_" &amp; APIF_Import!$M404:$O404), VLOOKUP( APIF_Import!$O404 &amp; APIF_Import!$J$1,Podesavanja!$AA$3:$AD$28, 4, 0), 0))</f>
        <v/>
      </c>
      <c r="K404" s="230" t="str">
        <f ca="1">IF( ISNA( VLOOKUP( APIF_Import!$O404 &amp; APIF_Import!$K$1,Podesavanja!$AA$3:$AD$28, 4, 0)), "", VLOOKUP( APIF_Import!$C404, INDIRECT( "Lookup_" &amp; APIF_Import!$M404:$O404), VLOOKUP( APIF_Import!$O404 &amp; APIF_Import!$K$1,Podesavanja!$AA$3:$AD$28, 4, 0), 0))</f>
        <v/>
      </c>
      <c r="L404" s="230" t="str">
        <f ca="1">IF( ISNA( VLOOKUP( APIF_Import!$O404 &amp; APIF_Import!$L$1,Podesavanja!$AA$3:$AD$28, 4, 0)), "", VLOOKUP( APIF_Import!$C404, INDIRECT( "Lookup_" &amp; APIF_Import!$M404:$O404), VLOOKUP( APIF_Import!$O404 &amp; APIF_Import!$L$1,Podesavanja!$AA$3:$AD$28, 4, 0), 0))</f>
        <v/>
      </c>
      <c r="M404" s="230" t="str">
        <f ca="1">IF( ISNA( VLOOKUP( APIF_Import!$O404 &amp; APIF_Import!$M$1,Podesavanja!$AA$3:$AD$28, 4, 0)), "", VLOOKUP( APIF_Import!$C404, INDIRECT( "Lookup_" &amp; APIF_Import!$M404:$O404), VLOOKUP( APIF_Import!$O404 &amp; APIF_Import!$M$1,Podesavanja!$AA$3:$AD$28, 4, 0), 0))</f>
        <v/>
      </c>
      <c r="N404" s="8">
        <v>405</v>
      </c>
      <c r="O404" s="8" t="s">
        <v>1538</v>
      </c>
    </row>
    <row r="405" spans="2:15">
      <c r="B405" s="44">
        <f ca="1">VLOOKUP( APIF_Import!$O405, Podesavanja!$N$3:$Q$9, 4, 0)</f>
        <v>4</v>
      </c>
      <c r="C405" s="229">
        <f ca="1">VLOOKUP( APIF_Import!$N405, Aop!$A$2:$P$456, 4, 0)</f>
        <v>655</v>
      </c>
      <c r="D405" s="230" t="str">
        <f ca="1">IF( ISNA( VLOOKUP( APIF_Import!$O405 &amp; APIF_Import!$D$1,Podesavanja!$AA$3:$AD$28, 4, 0)), "", SUBSTITUTE( VALUE( VLOOKUP( APIF_Import!$C405, INDIRECT( "Lookup_" &amp; APIF_Import!$O405), VLOOKUP( APIF_Import!$O405 &amp; APIF_Import!$D$1,Podesavanja!$AA$3:$AD$28, 4, 0), 0)), ".", ","))</f>
        <v>3142</v>
      </c>
      <c r="E405" s="230">
        <f ca="1">IF( ISNA( VLOOKUP( APIF_Import!$O405 &amp; APIF_Import!$E$1,Podesavanja!$AA$3:$AD$28, 4, 0)), "", VLOOKUP( APIF_Import!$C405, INDIRECT( "Lookup_" &amp; APIF_Import!$O405), VLOOKUP( APIF_Import!$O405 &amp; APIF_Import!$E$1,Podesavanja!$AA$3:$AD$28, 4, 0), 0))</f>
        <v>1606</v>
      </c>
      <c r="F405" s="230" t="str">
        <f ca="1">IF( ISNA( VLOOKUP( APIF_Import!$O405 &amp; APIF_Import!$F$1,Podesavanja!$AA$3:$AD$28, 4, 0)), "", VLOOKUP( APIF_Import!$C405, INDIRECT( "Lookup_" &amp; APIF_Import!$O405), VLOOKUP( APIF_Import!$O405 &amp; APIF_Import!$F$1,Podesavanja!$AA$3:$AD$28, 4, 0), 0))</f>
        <v/>
      </c>
      <c r="G405" s="230" t="str">
        <f ca="1">IF( ISNA( VLOOKUP( APIF_Import!$O405 &amp; APIF_Import!$G$1,Podesavanja!$AA$3:$AD$28, 4, 0)), "", VLOOKUP( APIF_Import!$C405, INDIRECT( "Lookup_" &amp; APIF_Import!$O405), VLOOKUP( APIF_Import!$O405 &amp; APIF_Import!$G$1,Podesavanja!$AA$3:$AD$28, 4, 0), 0))</f>
        <v/>
      </c>
      <c r="H405" s="230" t="str">
        <f ca="1">IF( ISNA( VLOOKUP( APIF_Import!$O405 &amp; APIF_Import!$H$1,Podesavanja!$AA$3:$AD$28, 4, 0)), "", VLOOKUP( APIF_Import!$C405, INDIRECT( "Lookup_" &amp; APIF_Import!$O405), VLOOKUP( APIF_Import!$O405 &amp; APIF_Import!$H$1,Podesavanja!$AA$3:$AD$28, 4, 0), 0))</f>
        <v/>
      </c>
      <c r="I405" s="230" t="str">
        <f ca="1">IF( ISNA( VLOOKUP( APIF_Import!$O405 &amp; APIF_Import!$I$1,Podesavanja!$AA$3:$AD$28, 4, 0)), "", VLOOKUP( APIF_Import!$C405, INDIRECT( "Lookup_" &amp; APIF_Import!$M405:$O405), VLOOKUP( APIF_Import!$O405 &amp; APIF_Import!$I$1,Podesavanja!$AA$3:$AD$28, 4, 0), 0))</f>
        <v/>
      </c>
      <c r="J405" s="230" t="str">
        <f ca="1">IF( ISNA( VLOOKUP( APIF_Import!$O405 &amp; APIF_Import!$J$1,Podesavanja!$AA$3:$AD$28, 4, 0)), "", VLOOKUP( APIF_Import!$C405, INDIRECT( "Lookup_" &amp; APIF_Import!$M405:$O405), VLOOKUP( APIF_Import!$O405 &amp; APIF_Import!$J$1,Podesavanja!$AA$3:$AD$28, 4, 0), 0))</f>
        <v/>
      </c>
      <c r="K405" s="230" t="str">
        <f ca="1">IF( ISNA( VLOOKUP( APIF_Import!$O405 &amp; APIF_Import!$K$1,Podesavanja!$AA$3:$AD$28, 4, 0)), "", VLOOKUP( APIF_Import!$C405, INDIRECT( "Lookup_" &amp; APIF_Import!$M405:$O405), VLOOKUP( APIF_Import!$O405 &amp; APIF_Import!$K$1,Podesavanja!$AA$3:$AD$28, 4, 0), 0))</f>
        <v/>
      </c>
      <c r="L405" s="230" t="str">
        <f ca="1">IF( ISNA( VLOOKUP( APIF_Import!$O405 &amp; APIF_Import!$L$1,Podesavanja!$AA$3:$AD$28, 4, 0)), "", VLOOKUP( APIF_Import!$C405, INDIRECT( "Lookup_" &amp; APIF_Import!$M405:$O405), VLOOKUP( APIF_Import!$O405 &amp; APIF_Import!$L$1,Podesavanja!$AA$3:$AD$28, 4, 0), 0))</f>
        <v/>
      </c>
      <c r="M405" s="230" t="str">
        <f ca="1">IF( ISNA( VLOOKUP( APIF_Import!$O405 &amp; APIF_Import!$M$1,Podesavanja!$AA$3:$AD$28, 4, 0)), "", VLOOKUP( APIF_Import!$C405, INDIRECT( "Lookup_" &amp; APIF_Import!$M405:$O405), VLOOKUP( APIF_Import!$O405 &amp; APIF_Import!$M$1,Podesavanja!$AA$3:$AD$28, 4, 0), 0))</f>
        <v/>
      </c>
      <c r="N405" s="8">
        <v>406</v>
      </c>
      <c r="O405" s="8" t="s">
        <v>1538</v>
      </c>
    </row>
    <row r="406" spans="2:15">
      <c r="B406" s="44">
        <f ca="1">VLOOKUP( APIF_Import!$O406, Podesavanja!$N$3:$Q$9, 4, 0)</f>
        <v>4</v>
      </c>
      <c r="C406" s="229">
        <f ca="1">VLOOKUP( APIF_Import!$N406, Aop!$A$2:$P$456, 4, 0)</f>
        <v>656</v>
      </c>
      <c r="D406" s="230" t="str">
        <f ca="1">IF( ISNA( VLOOKUP( APIF_Import!$O406 &amp; APIF_Import!$D$1,Podesavanja!$AA$3:$AD$28, 4, 0)), "", SUBSTITUTE( VALUE( VLOOKUP( APIF_Import!$C406, INDIRECT( "Lookup_" &amp; APIF_Import!$O406), VLOOKUP( APIF_Import!$O406 &amp; APIF_Import!$D$1,Podesavanja!$AA$3:$AD$28, 4, 0), 0)), ".", ","))</f>
        <v>1278</v>
      </c>
      <c r="E406" s="230">
        <f ca="1">IF( ISNA( VLOOKUP( APIF_Import!$O406 &amp; APIF_Import!$E$1,Podesavanja!$AA$3:$AD$28, 4, 0)), "", VLOOKUP( APIF_Import!$C406, INDIRECT( "Lookup_" &amp; APIF_Import!$O406), VLOOKUP( APIF_Import!$O406 &amp; APIF_Import!$E$1,Podesavanja!$AA$3:$AD$28, 4, 0), 0))</f>
        <v>1233</v>
      </c>
      <c r="F406" s="230" t="str">
        <f ca="1">IF( ISNA( VLOOKUP( APIF_Import!$O406 &amp; APIF_Import!$F$1,Podesavanja!$AA$3:$AD$28, 4, 0)), "", VLOOKUP( APIF_Import!$C406, INDIRECT( "Lookup_" &amp; APIF_Import!$O406), VLOOKUP( APIF_Import!$O406 &amp; APIF_Import!$F$1,Podesavanja!$AA$3:$AD$28, 4, 0), 0))</f>
        <v/>
      </c>
      <c r="G406" s="230" t="str">
        <f ca="1">IF( ISNA( VLOOKUP( APIF_Import!$O406 &amp; APIF_Import!$G$1,Podesavanja!$AA$3:$AD$28, 4, 0)), "", VLOOKUP( APIF_Import!$C406, INDIRECT( "Lookup_" &amp; APIF_Import!$O406), VLOOKUP( APIF_Import!$O406 &amp; APIF_Import!$G$1,Podesavanja!$AA$3:$AD$28, 4, 0), 0))</f>
        <v/>
      </c>
      <c r="H406" s="230" t="str">
        <f ca="1">IF( ISNA( VLOOKUP( APIF_Import!$O406 &amp; APIF_Import!$H$1,Podesavanja!$AA$3:$AD$28, 4, 0)), "", VLOOKUP( APIF_Import!$C406, INDIRECT( "Lookup_" &amp; APIF_Import!$O406), VLOOKUP( APIF_Import!$O406 &amp; APIF_Import!$H$1,Podesavanja!$AA$3:$AD$28, 4, 0), 0))</f>
        <v/>
      </c>
      <c r="I406" s="230" t="str">
        <f ca="1">IF( ISNA( VLOOKUP( APIF_Import!$O406 &amp; APIF_Import!$I$1,Podesavanja!$AA$3:$AD$28, 4, 0)), "", VLOOKUP( APIF_Import!$C406, INDIRECT( "Lookup_" &amp; APIF_Import!$M406:$O406), VLOOKUP( APIF_Import!$O406 &amp; APIF_Import!$I$1,Podesavanja!$AA$3:$AD$28, 4, 0), 0))</f>
        <v/>
      </c>
      <c r="J406" s="230" t="str">
        <f ca="1">IF( ISNA( VLOOKUP( APIF_Import!$O406 &amp; APIF_Import!$J$1,Podesavanja!$AA$3:$AD$28, 4, 0)), "", VLOOKUP( APIF_Import!$C406, INDIRECT( "Lookup_" &amp; APIF_Import!$M406:$O406), VLOOKUP( APIF_Import!$O406 &amp; APIF_Import!$J$1,Podesavanja!$AA$3:$AD$28, 4, 0), 0))</f>
        <v/>
      </c>
      <c r="K406" s="230" t="str">
        <f ca="1">IF( ISNA( VLOOKUP( APIF_Import!$O406 &amp; APIF_Import!$K$1,Podesavanja!$AA$3:$AD$28, 4, 0)), "", VLOOKUP( APIF_Import!$C406, INDIRECT( "Lookup_" &amp; APIF_Import!$M406:$O406), VLOOKUP( APIF_Import!$O406 &amp; APIF_Import!$K$1,Podesavanja!$AA$3:$AD$28, 4, 0), 0))</f>
        <v/>
      </c>
      <c r="L406" s="230" t="str">
        <f ca="1">IF( ISNA( VLOOKUP( APIF_Import!$O406 &amp; APIF_Import!$L$1,Podesavanja!$AA$3:$AD$28, 4, 0)), "", VLOOKUP( APIF_Import!$C406, INDIRECT( "Lookup_" &amp; APIF_Import!$M406:$O406), VLOOKUP( APIF_Import!$O406 &amp; APIF_Import!$L$1,Podesavanja!$AA$3:$AD$28, 4, 0), 0))</f>
        <v/>
      </c>
      <c r="M406" s="230" t="str">
        <f ca="1">IF( ISNA( VLOOKUP( APIF_Import!$O406 &amp; APIF_Import!$M$1,Podesavanja!$AA$3:$AD$28, 4, 0)), "", VLOOKUP( APIF_Import!$C406, INDIRECT( "Lookup_" &amp; APIF_Import!$M406:$O406), VLOOKUP( APIF_Import!$O406 &amp; APIF_Import!$M$1,Podesavanja!$AA$3:$AD$28, 4, 0), 0))</f>
        <v/>
      </c>
      <c r="N406" s="8">
        <v>407</v>
      </c>
      <c r="O406" s="8" t="s">
        <v>1538</v>
      </c>
    </row>
    <row r="407" spans="2:15">
      <c r="B407" s="44">
        <f ca="1">VLOOKUP( APIF_Import!$O407, Podesavanja!$N$3:$Q$9, 4, 0)</f>
        <v>4</v>
      </c>
      <c r="C407" s="229">
        <f ca="1">VLOOKUP( APIF_Import!$N407, Aop!$A$2:$P$456, 4, 0)</f>
        <v>657</v>
      </c>
      <c r="D407" s="230" t="str">
        <f ca="1">IF( ISNA( VLOOKUP( APIF_Import!$O407 &amp; APIF_Import!$D$1,Podesavanja!$AA$3:$AD$28, 4, 0)), "", SUBSTITUTE( VALUE( VLOOKUP( APIF_Import!$C407, INDIRECT( "Lookup_" &amp; APIF_Import!$O407), VLOOKUP( APIF_Import!$O407 &amp; APIF_Import!$D$1,Podesavanja!$AA$3:$AD$28, 4, 0), 0)), ".", ","))</f>
        <v>0</v>
      </c>
      <c r="E407" s="230">
        <f ca="1">IF( ISNA( VLOOKUP( APIF_Import!$O407 &amp; APIF_Import!$E$1,Podesavanja!$AA$3:$AD$28, 4, 0)), "", VLOOKUP( APIF_Import!$C407, INDIRECT( "Lookup_" &amp; APIF_Import!$O407), VLOOKUP( APIF_Import!$O407 &amp; APIF_Import!$E$1,Podesavanja!$AA$3:$AD$28, 4, 0), 0))</f>
        <v>0</v>
      </c>
      <c r="F407" s="230" t="str">
        <f ca="1">IF( ISNA( VLOOKUP( APIF_Import!$O407 &amp; APIF_Import!$F$1,Podesavanja!$AA$3:$AD$28, 4, 0)), "", VLOOKUP( APIF_Import!$C407, INDIRECT( "Lookup_" &amp; APIF_Import!$O407), VLOOKUP( APIF_Import!$O407 &amp; APIF_Import!$F$1,Podesavanja!$AA$3:$AD$28, 4, 0), 0))</f>
        <v/>
      </c>
      <c r="G407" s="230" t="str">
        <f ca="1">IF( ISNA( VLOOKUP( APIF_Import!$O407 &amp; APIF_Import!$G$1,Podesavanja!$AA$3:$AD$28, 4, 0)), "", VLOOKUP( APIF_Import!$C407, INDIRECT( "Lookup_" &amp; APIF_Import!$O407), VLOOKUP( APIF_Import!$O407 &amp; APIF_Import!$G$1,Podesavanja!$AA$3:$AD$28, 4, 0), 0))</f>
        <v/>
      </c>
      <c r="H407" s="230" t="str">
        <f ca="1">IF( ISNA( VLOOKUP( APIF_Import!$O407 &amp; APIF_Import!$H$1,Podesavanja!$AA$3:$AD$28, 4, 0)), "", VLOOKUP( APIF_Import!$C407, INDIRECT( "Lookup_" &amp; APIF_Import!$O407), VLOOKUP( APIF_Import!$O407 &amp; APIF_Import!$H$1,Podesavanja!$AA$3:$AD$28, 4, 0), 0))</f>
        <v/>
      </c>
      <c r="I407" s="230" t="str">
        <f ca="1">IF( ISNA( VLOOKUP( APIF_Import!$O407 &amp; APIF_Import!$I$1,Podesavanja!$AA$3:$AD$28, 4, 0)), "", VLOOKUP( APIF_Import!$C407, INDIRECT( "Lookup_" &amp; APIF_Import!$M407:$O407), VLOOKUP( APIF_Import!$O407 &amp; APIF_Import!$I$1,Podesavanja!$AA$3:$AD$28, 4, 0), 0))</f>
        <v/>
      </c>
      <c r="J407" s="230" t="str">
        <f ca="1">IF( ISNA( VLOOKUP( APIF_Import!$O407 &amp; APIF_Import!$J$1,Podesavanja!$AA$3:$AD$28, 4, 0)), "", VLOOKUP( APIF_Import!$C407, INDIRECT( "Lookup_" &amp; APIF_Import!$M407:$O407), VLOOKUP( APIF_Import!$O407 &amp; APIF_Import!$J$1,Podesavanja!$AA$3:$AD$28, 4, 0), 0))</f>
        <v/>
      </c>
      <c r="K407" s="230" t="str">
        <f ca="1">IF( ISNA( VLOOKUP( APIF_Import!$O407 &amp; APIF_Import!$K$1,Podesavanja!$AA$3:$AD$28, 4, 0)), "", VLOOKUP( APIF_Import!$C407, INDIRECT( "Lookup_" &amp; APIF_Import!$M407:$O407), VLOOKUP( APIF_Import!$O407 &amp; APIF_Import!$K$1,Podesavanja!$AA$3:$AD$28, 4, 0), 0))</f>
        <v/>
      </c>
      <c r="L407" s="230" t="str">
        <f ca="1">IF( ISNA( VLOOKUP( APIF_Import!$O407 &amp; APIF_Import!$L$1,Podesavanja!$AA$3:$AD$28, 4, 0)), "", VLOOKUP( APIF_Import!$C407, INDIRECT( "Lookup_" &amp; APIF_Import!$M407:$O407), VLOOKUP( APIF_Import!$O407 &amp; APIF_Import!$L$1,Podesavanja!$AA$3:$AD$28, 4, 0), 0))</f>
        <v/>
      </c>
      <c r="M407" s="230" t="str">
        <f ca="1">IF( ISNA( VLOOKUP( APIF_Import!$O407 &amp; APIF_Import!$M$1,Podesavanja!$AA$3:$AD$28, 4, 0)), "", VLOOKUP( APIF_Import!$C407, INDIRECT( "Lookup_" &amp; APIF_Import!$M407:$O407), VLOOKUP( APIF_Import!$O407 &amp; APIF_Import!$M$1,Podesavanja!$AA$3:$AD$28, 4, 0), 0))</f>
        <v/>
      </c>
      <c r="N407" s="8">
        <v>408</v>
      </c>
      <c r="O407" s="8" t="s">
        <v>1538</v>
      </c>
    </row>
    <row r="408" spans="2:15">
      <c r="B408" s="44">
        <f ca="1">VLOOKUP( APIF_Import!$O408, Podesavanja!$N$3:$Q$9, 4, 0)</f>
        <v>4</v>
      </c>
      <c r="C408" s="229">
        <f ca="1">VLOOKUP( APIF_Import!$N408, Aop!$A$2:$P$456, 4, 0)</f>
        <v>658</v>
      </c>
      <c r="D408" s="230" t="str">
        <f ca="1">IF( ISNA( VLOOKUP( APIF_Import!$O408 &amp; APIF_Import!$D$1,Podesavanja!$AA$3:$AD$28, 4, 0)), "", SUBSTITUTE( VALUE( VLOOKUP( APIF_Import!$C408, INDIRECT( "Lookup_" &amp; APIF_Import!$O408), VLOOKUP( APIF_Import!$O408 &amp; APIF_Import!$D$1,Podesavanja!$AA$3:$AD$28, 4, 0), 0)), ".", ","))</f>
        <v>27329</v>
      </c>
      <c r="E408" s="230">
        <f ca="1">IF( ISNA( VLOOKUP( APIF_Import!$O408 &amp; APIF_Import!$E$1,Podesavanja!$AA$3:$AD$28, 4, 0)), "", VLOOKUP( APIF_Import!$C408, INDIRECT( "Lookup_" &amp; APIF_Import!$O408), VLOOKUP( APIF_Import!$O408 &amp; APIF_Import!$E$1,Podesavanja!$AA$3:$AD$28, 4, 0), 0))</f>
        <v>11237</v>
      </c>
      <c r="F408" s="230" t="str">
        <f ca="1">IF( ISNA( VLOOKUP( APIF_Import!$O408 &amp; APIF_Import!$F$1,Podesavanja!$AA$3:$AD$28, 4, 0)), "", VLOOKUP( APIF_Import!$C408, INDIRECT( "Lookup_" &amp; APIF_Import!$O408), VLOOKUP( APIF_Import!$O408 &amp; APIF_Import!$F$1,Podesavanja!$AA$3:$AD$28, 4, 0), 0))</f>
        <v/>
      </c>
      <c r="G408" s="230" t="str">
        <f ca="1">IF( ISNA( VLOOKUP( APIF_Import!$O408 &amp; APIF_Import!$G$1,Podesavanja!$AA$3:$AD$28, 4, 0)), "", VLOOKUP( APIF_Import!$C408, INDIRECT( "Lookup_" &amp; APIF_Import!$O408), VLOOKUP( APIF_Import!$O408 &amp; APIF_Import!$G$1,Podesavanja!$AA$3:$AD$28, 4, 0), 0))</f>
        <v/>
      </c>
      <c r="H408" s="230" t="str">
        <f ca="1">IF( ISNA( VLOOKUP( APIF_Import!$O408 &amp; APIF_Import!$H$1,Podesavanja!$AA$3:$AD$28, 4, 0)), "", VLOOKUP( APIF_Import!$C408, INDIRECT( "Lookup_" &amp; APIF_Import!$O408), VLOOKUP( APIF_Import!$O408 &amp; APIF_Import!$H$1,Podesavanja!$AA$3:$AD$28, 4, 0), 0))</f>
        <v/>
      </c>
      <c r="I408" s="230" t="str">
        <f ca="1">IF( ISNA( VLOOKUP( APIF_Import!$O408 &amp; APIF_Import!$I$1,Podesavanja!$AA$3:$AD$28, 4, 0)), "", VLOOKUP( APIF_Import!$C408, INDIRECT( "Lookup_" &amp; APIF_Import!$M408:$O408), VLOOKUP( APIF_Import!$O408 &amp; APIF_Import!$I$1,Podesavanja!$AA$3:$AD$28, 4, 0), 0))</f>
        <v/>
      </c>
      <c r="J408" s="230" t="str">
        <f ca="1">IF( ISNA( VLOOKUP( APIF_Import!$O408 &amp; APIF_Import!$J$1,Podesavanja!$AA$3:$AD$28, 4, 0)), "", VLOOKUP( APIF_Import!$C408, INDIRECT( "Lookup_" &amp; APIF_Import!$M408:$O408), VLOOKUP( APIF_Import!$O408 &amp; APIF_Import!$J$1,Podesavanja!$AA$3:$AD$28, 4, 0), 0))</f>
        <v/>
      </c>
      <c r="K408" s="230" t="str">
        <f ca="1">IF( ISNA( VLOOKUP( APIF_Import!$O408 &amp; APIF_Import!$K$1,Podesavanja!$AA$3:$AD$28, 4, 0)), "", VLOOKUP( APIF_Import!$C408, INDIRECT( "Lookup_" &amp; APIF_Import!$M408:$O408), VLOOKUP( APIF_Import!$O408 &amp; APIF_Import!$K$1,Podesavanja!$AA$3:$AD$28, 4, 0), 0))</f>
        <v/>
      </c>
      <c r="L408" s="230" t="str">
        <f ca="1">IF( ISNA( VLOOKUP( APIF_Import!$O408 &amp; APIF_Import!$L$1,Podesavanja!$AA$3:$AD$28, 4, 0)), "", VLOOKUP( APIF_Import!$C408, INDIRECT( "Lookup_" &amp; APIF_Import!$M408:$O408), VLOOKUP( APIF_Import!$O408 &amp; APIF_Import!$L$1,Podesavanja!$AA$3:$AD$28, 4, 0), 0))</f>
        <v/>
      </c>
      <c r="M408" s="230" t="str">
        <f ca="1">IF( ISNA( VLOOKUP( APIF_Import!$O408 &amp; APIF_Import!$M$1,Podesavanja!$AA$3:$AD$28, 4, 0)), "", VLOOKUP( APIF_Import!$C408, INDIRECT( "Lookup_" &amp; APIF_Import!$M408:$O408), VLOOKUP( APIF_Import!$O408 &amp; APIF_Import!$M$1,Podesavanja!$AA$3:$AD$28, 4, 0), 0))</f>
        <v/>
      </c>
      <c r="N408" s="8">
        <v>409</v>
      </c>
      <c r="O408" s="8" t="s">
        <v>1538</v>
      </c>
    </row>
    <row r="409" spans="2:15">
      <c r="B409" s="44">
        <f ca="1">VLOOKUP( APIF_Import!$O409, Podesavanja!$N$3:$Q$9, 4, 0)</f>
        <v>4</v>
      </c>
      <c r="C409" s="229">
        <f ca="1">VLOOKUP( APIF_Import!$N409, Aop!$A$2:$P$456, 4, 0)</f>
        <v>659</v>
      </c>
      <c r="D409" s="230" t="str">
        <f ca="1">IF( ISNA( VLOOKUP( APIF_Import!$O409 &amp; APIF_Import!$D$1,Podesavanja!$AA$3:$AD$28, 4, 0)), "", SUBSTITUTE( VALUE( VLOOKUP( APIF_Import!$C409, INDIRECT( "Lookup_" &amp; APIF_Import!$O409), VLOOKUP( APIF_Import!$O409 &amp; APIF_Import!$D$1,Podesavanja!$AA$3:$AD$28, 4, 0), 0)), ".", ","))</f>
        <v>54410</v>
      </c>
      <c r="E409" s="230">
        <f ca="1">IF( ISNA( VLOOKUP( APIF_Import!$O409 &amp; APIF_Import!$E$1,Podesavanja!$AA$3:$AD$28, 4, 0)), "", VLOOKUP( APIF_Import!$C409, INDIRECT( "Lookup_" &amp; APIF_Import!$O409), VLOOKUP( APIF_Import!$O409 &amp; APIF_Import!$E$1,Podesavanja!$AA$3:$AD$28, 4, 0), 0))</f>
        <v>6284</v>
      </c>
      <c r="F409" s="230" t="str">
        <f ca="1">IF( ISNA( VLOOKUP( APIF_Import!$O409 &amp; APIF_Import!$F$1,Podesavanja!$AA$3:$AD$28, 4, 0)), "", VLOOKUP( APIF_Import!$C409, INDIRECT( "Lookup_" &amp; APIF_Import!$O409), VLOOKUP( APIF_Import!$O409 &amp; APIF_Import!$F$1,Podesavanja!$AA$3:$AD$28, 4, 0), 0))</f>
        <v/>
      </c>
      <c r="G409" s="230" t="str">
        <f ca="1">IF( ISNA( VLOOKUP( APIF_Import!$O409 &amp; APIF_Import!$G$1,Podesavanja!$AA$3:$AD$28, 4, 0)), "", VLOOKUP( APIF_Import!$C409, INDIRECT( "Lookup_" &amp; APIF_Import!$O409), VLOOKUP( APIF_Import!$O409 &amp; APIF_Import!$G$1,Podesavanja!$AA$3:$AD$28, 4, 0), 0))</f>
        <v/>
      </c>
      <c r="H409" s="230" t="str">
        <f ca="1">IF( ISNA( VLOOKUP( APIF_Import!$O409 &amp; APIF_Import!$H$1,Podesavanja!$AA$3:$AD$28, 4, 0)), "", VLOOKUP( APIF_Import!$C409, INDIRECT( "Lookup_" &amp; APIF_Import!$O409), VLOOKUP( APIF_Import!$O409 &amp; APIF_Import!$H$1,Podesavanja!$AA$3:$AD$28, 4, 0), 0))</f>
        <v/>
      </c>
      <c r="I409" s="230" t="str">
        <f ca="1">IF( ISNA( VLOOKUP( APIF_Import!$O409 &amp; APIF_Import!$I$1,Podesavanja!$AA$3:$AD$28, 4, 0)), "", VLOOKUP( APIF_Import!$C409, INDIRECT( "Lookup_" &amp; APIF_Import!$M409:$O409), VLOOKUP( APIF_Import!$O409 &amp; APIF_Import!$I$1,Podesavanja!$AA$3:$AD$28, 4, 0), 0))</f>
        <v/>
      </c>
      <c r="J409" s="230" t="str">
        <f ca="1">IF( ISNA( VLOOKUP( APIF_Import!$O409 &amp; APIF_Import!$J$1,Podesavanja!$AA$3:$AD$28, 4, 0)), "", VLOOKUP( APIF_Import!$C409, INDIRECT( "Lookup_" &amp; APIF_Import!$M409:$O409), VLOOKUP( APIF_Import!$O409 &amp; APIF_Import!$J$1,Podesavanja!$AA$3:$AD$28, 4, 0), 0))</f>
        <v/>
      </c>
      <c r="K409" s="230" t="str">
        <f ca="1">IF( ISNA( VLOOKUP( APIF_Import!$O409 &amp; APIF_Import!$K$1,Podesavanja!$AA$3:$AD$28, 4, 0)), "", VLOOKUP( APIF_Import!$C409, INDIRECT( "Lookup_" &amp; APIF_Import!$M409:$O409), VLOOKUP( APIF_Import!$O409 &amp; APIF_Import!$K$1,Podesavanja!$AA$3:$AD$28, 4, 0), 0))</f>
        <v/>
      </c>
      <c r="L409" s="230" t="str">
        <f ca="1">IF( ISNA( VLOOKUP( APIF_Import!$O409 &amp; APIF_Import!$L$1,Podesavanja!$AA$3:$AD$28, 4, 0)), "", VLOOKUP( APIF_Import!$C409, INDIRECT( "Lookup_" &amp; APIF_Import!$M409:$O409), VLOOKUP( APIF_Import!$O409 &amp; APIF_Import!$L$1,Podesavanja!$AA$3:$AD$28, 4, 0), 0))</f>
        <v/>
      </c>
      <c r="M409" s="230" t="str">
        <f ca="1">IF( ISNA( VLOOKUP( APIF_Import!$O409 &amp; APIF_Import!$M$1,Podesavanja!$AA$3:$AD$28, 4, 0)), "", VLOOKUP( APIF_Import!$C409, INDIRECT( "Lookup_" &amp; APIF_Import!$M409:$O409), VLOOKUP( APIF_Import!$O409 &amp; APIF_Import!$M$1,Podesavanja!$AA$3:$AD$28, 4, 0), 0))</f>
        <v/>
      </c>
      <c r="N409" s="8">
        <v>410</v>
      </c>
      <c r="O409" s="8" t="s">
        <v>1538</v>
      </c>
    </row>
    <row r="410" spans="2:15">
      <c r="B410" s="44">
        <f ca="1">VLOOKUP( APIF_Import!$O410, Podesavanja!$N$3:$Q$9, 4, 0)</f>
        <v>4</v>
      </c>
      <c r="C410" s="229">
        <f ca="1">VLOOKUP( APIF_Import!$N410, Aop!$A$2:$P$456, 4, 0)</f>
        <v>660</v>
      </c>
      <c r="D410" s="230" t="str">
        <f ca="1">IF( ISNA( VLOOKUP( APIF_Import!$O410 &amp; APIF_Import!$D$1,Podesavanja!$AA$3:$AD$28, 4, 0)), "", SUBSTITUTE( VALUE( VLOOKUP( APIF_Import!$C410, INDIRECT( "Lookup_" &amp; APIF_Import!$O410), VLOOKUP( APIF_Import!$O410 &amp; APIF_Import!$D$1,Podesavanja!$AA$3:$AD$28, 4, 0), 0)), ".", ","))</f>
        <v>0</v>
      </c>
      <c r="E410" s="230">
        <f ca="1">IF( ISNA( VLOOKUP( APIF_Import!$O410 &amp; APIF_Import!$E$1,Podesavanja!$AA$3:$AD$28, 4, 0)), "", VLOOKUP( APIF_Import!$C410, INDIRECT( "Lookup_" &amp; APIF_Import!$O410), VLOOKUP( APIF_Import!$O410 &amp; APIF_Import!$E$1,Podesavanja!$AA$3:$AD$28, 4, 0), 0))</f>
        <v>0</v>
      </c>
      <c r="F410" s="230" t="str">
        <f ca="1">IF( ISNA( VLOOKUP( APIF_Import!$O410 &amp; APIF_Import!$F$1,Podesavanja!$AA$3:$AD$28, 4, 0)), "", VLOOKUP( APIF_Import!$C410, INDIRECT( "Lookup_" &amp; APIF_Import!$O410), VLOOKUP( APIF_Import!$O410 &amp; APIF_Import!$F$1,Podesavanja!$AA$3:$AD$28, 4, 0), 0))</f>
        <v/>
      </c>
      <c r="G410" s="230" t="str">
        <f ca="1">IF( ISNA( VLOOKUP( APIF_Import!$O410 &amp; APIF_Import!$G$1,Podesavanja!$AA$3:$AD$28, 4, 0)), "", VLOOKUP( APIF_Import!$C410, INDIRECT( "Lookup_" &amp; APIF_Import!$O410), VLOOKUP( APIF_Import!$O410 &amp; APIF_Import!$G$1,Podesavanja!$AA$3:$AD$28, 4, 0), 0))</f>
        <v/>
      </c>
      <c r="H410" s="230" t="str">
        <f ca="1">IF( ISNA( VLOOKUP( APIF_Import!$O410 &amp; APIF_Import!$H$1,Podesavanja!$AA$3:$AD$28, 4, 0)), "", VLOOKUP( APIF_Import!$C410, INDIRECT( "Lookup_" &amp; APIF_Import!$O410), VLOOKUP( APIF_Import!$O410 &amp; APIF_Import!$H$1,Podesavanja!$AA$3:$AD$28, 4, 0), 0))</f>
        <v/>
      </c>
      <c r="I410" s="230" t="str">
        <f ca="1">IF( ISNA( VLOOKUP( APIF_Import!$O410 &amp; APIF_Import!$I$1,Podesavanja!$AA$3:$AD$28, 4, 0)), "", VLOOKUP( APIF_Import!$C410, INDIRECT( "Lookup_" &amp; APIF_Import!$M410:$O410), VLOOKUP( APIF_Import!$O410 &amp; APIF_Import!$I$1,Podesavanja!$AA$3:$AD$28, 4, 0), 0))</f>
        <v/>
      </c>
      <c r="J410" s="230" t="str">
        <f ca="1">IF( ISNA( VLOOKUP( APIF_Import!$O410 &amp; APIF_Import!$J$1,Podesavanja!$AA$3:$AD$28, 4, 0)), "", VLOOKUP( APIF_Import!$C410, INDIRECT( "Lookup_" &amp; APIF_Import!$M410:$O410), VLOOKUP( APIF_Import!$O410 &amp; APIF_Import!$J$1,Podesavanja!$AA$3:$AD$28, 4, 0), 0))</f>
        <v/>
      </c>
      <c r="K410" s="230" t="str">
        <f ca="1">IF( ISNA( VLOOKUP( APIF_Import!$O410 &amp; APIF_Import!$K$1,Podesavanja!$AA$3:$AD$28, 4, 0)), "", VLOOKUP( APIF_Import!$C410, INDIRECT( "Lookup_" &amp; APIF_Import!$M410:$O410), VLOOKUP( APIF_Import!$O410 &amp; APIF_Import!$K$1,Podesavanja!$AA$3:$AD$28, 4, 0), 0))</f>
        <v/>
      </c>
      <c r="L410" s="230" t="str">
        <f ca="1">IF( ISNA( VLOOKUP( APIF_Import!$O410 &amp; APIF_Import!$L$1,Podesavanja!$AA$3:$AD$28, 4, 0)), "", VLOOKUP( APIF_Import!$C410, INDIRECT( "Lookup_" &amp; APIF_Import!$M410:$O410), VLOOKUP( APIF_Import!$O410 &amp; APIF_Import!$L$1,Podesavanja!$AA$3:$AD$28, 4, 0), 0))</f>
        <v/>
      </c>
      <c r="M410" s="230" t="str">
        <f ca="1">IF( ISNA( VLOOKUP( APIF_Import!$O410 &amp; APIF_Import!$M$1,Podesavanja!$AA$3:$AD$28, 4, 0)), "", VLOOKUP( APIF_Import!$C410, INDIRECT( "Lookup_" &amp; APIF_Import!$M410:$O410), VLOOKUP( APIF_Import!$O410 &amp; APIF_Import!$M$1,Podesavanja!$AA$3:$AD$28, 4, 0), 0))</f>
        <v/>
      </c>
      <c r="N410" s="8">
        <v>411</v>
      </c>
      <c r="O410" s="8" t="s">
        <v>1538</v>
      </c>
    </row>
    <row r="411" spans="2:15">
      <c r="B411" s="44">
        <f ca="1">VLOOKUP( APIF_Import!$O411, Podesavanja!$N$3:$Q$9, 4, 0)</f>
        <v>4</v>
      </c>
      <c r="C411" s="229">
        <f ca="1">VLOOKUP( APIF_Import!$N411, Aop!$A$2:$P$456, 4, 0)</f>
        <v>661</v>
      </c>
      <c r="D411" s="230" t="str">
        <f ca="1">IF( ISNA( VLOOKUP( APIF_Import!$O411 &amp; APIF_Import!$D$1,Podesavanja!$AA$3:$AD$28, 4, 0)), "", SUBSTITUTE( VALUE( VLOOKUP( APIF_Import!$C411, INDIRECT( "Lookup_" &amp; APIF_Import!$O411), VLOOKUP( APIF_Import!$O411 &amp; APIF_Import!$D$1,Podesavanja!$AA$3:$AD$28, 4, 0), 0)), ".", ","))</f>
        <v>150906</v>
      </c>
      <c r="E411" s="230">
        <f ca="1">IF( ISNA( VLOOKUP( APIF_Import!$O411 &amp; APIF_Import!$E$1,Podesavanja!$AA$3:$AD$28, 4, 0)), "", VLOOKUP( APIF_Import!$C411, INDIRECT( "Lookup_" &amp; APIF_Import!$O411), VLOOKUP( APIF_Import!$O411 &amp; APIF_Import!$E$1,Podesavanja!$AA$3:$AD$28, 4, 0), 0))</f>
        <v>76340</v>
      </c>
      <c r="F411" s="230" t="str">
        <f ca="1">IF( ISNA( VLOOKUP( APIF_Import!$O411 &amp; APIF_Import!$F$1,Podesavanja!$AA$3:$AD$28, 4, 0)), "", VLOOKUP( APIF_Import!$C411, INDIRECT( "Lookup_" &amp; APIF_Import!$O411), VLOOKUP( APIF_Import!$O411 &amp; APIF_Import!$F$1,Podesavanja!$AA$3:$AD$28, 4, 0), 0))</f>
        <v/>
      </c>
      <c r="G411" s="230" t="str">
        <f ca="1">IF( ISNA( VLOOKUP( APIF_Import!$O411 &amp; APIF_Import!$G$1,Podesavanja!$AA$3:$AD$28, 4, 0)), "", VLOOKUP( APIF_Import!$C411, INDIRECT( "Lookup_" &amp; APIF_Import!$O411), VLOOKUP( APIF_Import!$O411 &amp; APIF_Import!$G$1,Podesavanja!$AA$3:$AD$28, 4, 0), 0))</f>
        <v/>
      </c>
      <c r="H411" s="230" t="str">
        <f ca="1">IF( ISNA( VLOOKUP( APIF_Import!$O411 &amp; APIF_Import!$H$1,Podesavanja!$AA$3:$AD$28, 4, 0)), "", VLOOKUP( APIF_Import!$C411, INDIRECT( "Lookup_" &amp; APIF_Import!$O411), VLOOKUP( APIF_Import!$O411 &amp; APIF_Import!$H$1,Podesavanja!$AA$3:$AD$28, 4, 0), 0))</f>
        <v/>
      </c>
      <c r="I411" s="230" t="str">
        <f ca="1">IF( ISNA( VLOOKUP( APIF_Import!$O411 &amp; APIF_Import!$I$1,Podesavanja!$AA$3:$AD$28, 4, 0)), "", VLOOKUP( APIF_Import!$C411, INDIRECT( "Lookup_" &amp; APIF_Import!$M411:$O411), VLOOKUP( APIF_Import!$O411 &amp; APIF_Import!$I$1,Podesavanja!$AA$3:$AD$28, 4, 0), 0))</f>
        <v/>
      </c>
      <c r="J411" s="230" t="str">
        <f ca="1">IF( ISNA( VLOOKUP( APIF_Import!$O411 &amp; APIF_Import!$J$1,Podesavanja!$AA$3:$AD$28, 4, 0)), "", VLOOKUP( APIF_Import!$C411, INDIRECT( "Lookup_" &amp; APIF_Import!$M411:$O411), VLOOKUP( APIF_Import!$O411 &amp; APIF_Import!$J$1,Podesavanja!$AA$3:$AD$28, 4, 0), 0))</f>
        <v/>
      </c>
      <c r="K411" s="230" t="str">
        <f ca="1">IF( ISNA( VLOOKUP( APIF_Import!$O411 &amp; APIF_Import!$K$1,Podesavanja!$AA$3:$AD$28, 4, 0)), "", VLOOKUP( APIF_Import!$C411, INDIRECT( "Lookup_" &amp; APIF_Import!$M411:$O411), VLOOKUP( APIF_Import!$O411 &amp; APIF_Import!$K$1,Podesavanja!$AA$3:$AD$28, 4, 0), 0))</f>
        <v/>
      </c>
      <c r="L411" s="230" t="str">
        <f ca="1">IF( ISNA( VLOOKUP( APIF_Import!$O411 &amp; APIF_Import!$L$1,Podesavanja!$AA$3:$AD$28, 4, 0)), "", VLOOKUP( APIF_Import!$C411, INDIRECT( "Lookup_" &amp; APIF_Import!$M411:$O411), VLOOKUP( APIF_Import!$O411 &amp; APIF_Import!$L$1,Podesavanja!$AA$3:$AD$28, 4, 0), 0))</f>
        <v/>
      </c>
      <c r="M411" s="230" t="str">
        <f ca="1">IF( ISNA( VLOOKUP( APIF_Import!$O411 &amp; APIF_Import!$M$1,Podesavanja!$AA$3:$AD$28, 4, 0)), "", VLOOKUP( APIF_Import!$C411, INDIRECT( "Lookup_" &amp; APIF_Import!$M411:$O411), VLOOKUP( APIF_Import!$O411 &amp; APIF_Import!$M$1,Podesavanja!$AA$3:$AD$28, 4, 0), 0))</f>
        <v/>
      </c>
      <c r="N411" s="8">
        <v>412</v>
      </c>
      <c r="O411" s="8" t="s">
        <v>1538</v>
      </c>
    </row>
    <row r="412" spans="2:15">
      <c r="B412" s="44">
        <f ca="1">VLOOKUP( APIF_Import!$O412, Podesavanja!$N$3:$Q$9, 4, 0)</f>
        <v>4</v>
      </c>
      <c r="C412" s="229">
        <f ca="1">VLOOKUP( APIF_Import!$N412, Aop!$A$2:$P$456, 4, 0)</f>
        <v>662</v>
      </c>
      <c r="D412" s="230" t="str">
        <f ca="1">IF( ISNA( VLOOKUP( APIF_Import!$O412 &amp; APIF_Import!$D$1,Podesavanja!$AA$3:$AD$28, 4, 0)), "", SUBSTITUTE( VALUE( VLOOKUP( APIF_Import!$C412, INDIRECT( "Lookup_" &amp; APIF_Import!$O412), VLOOKUP( APIF_Import!$O412 &amp; APIF_Import!$D$1,Podesavanja!$AA$3:$AD$28, 4, 0), 0)), ".", ","))</f>
        <v>101071</v>
      </c>
      <c r="E412" s="230">
        <f ca="1">IF( ISNA( VLOOKUP( APIF_Import!$O412 &amp; APIF_Import!$E$1,Podesavanja!$AA$3:$AD$28, 4, 0)), "", VLOOKUP( APIF_Import!$C412, INDIRECT( "Lookup_" &amp; APIF_Import!$O412), VLOOKUP( APIF_Import!$O412 &amp; APIF_Import!$E$1,Podesavanja!$AA$3:$AD$28, 4, 0), 0))</f>
        <v>11478</v>
      </c>
      <c r="F412" s="230" t="str">
        <f ca="1">IF( ISNA( VLOOKUP( APIF_Import!$O412 &amp; APIF_Import!$F$1,Podesavanja!$AA$3:$AD$28, 4, 0)), "", VLOOKUP( APIF_Import!$C412, INDIRECT( "Lookup_" &amp; APIF_Import!$O412), VLOOKUP( APIF_Import!$O412 &amp; APIF_Import!$F$1,Podesavanja!$AA$3:$AD$28, 4, 0), 0))</f>
        <v/>
      </c>
      <c r="G412" s="230" t="str">
        <f ca="1">IF( ISNA( VLOOKUP( APIF_Import!$O412 &amp; APIF_Import!$G$1,Podesavanja!$AA$3:$AD$28, 4, 0)), "", VLOOKUP( APIF_Import!$C412, INDIRECT( "Lookup_" &amp; APIF_Import!$O412), VLOOKUP( APIF_Import!$O412 &amp; APIF_Import!$G$1,Podesavanja!$AA$3:$AD$28, 4, 0), 0))</f>
        <v/>
      </c>
      <c r="H412" s="230" t="str">
        <f ca="1">IF( ISNA( VLOOKUP( APIF_Import!$O412 &amp; APIF_Import!$H$1,Podesavanja!$AA$3:$AD$28, 4, 0)), "", VLOOKUP( APIF_Import!$C412, INDIRECT( "Lookup_" &amp; APIF_Import!$O412), VLOOKUP( APIF_Import!$O412 &amp; APIF_Import!$H$1,Podesavanja!$AA$3:$AD$28, 4, 0), 0))</f>
        <v/>
      </c>
      <c r="I412" s="230" t="str">
        <f ca="1">IF( ISNA( VLOOKUP( APIF_Import!$O412 &amp; APIF_Import!$I$1,Podesavanja!$AA$3:$AD$28, 4, 0)), "", VLOOKUP( APIF_Import!$C412, INDIRECT( "Lookup_" &amp; APIF_Import!$M412:$O412), VLOOKUP( APIF_Import!$O412 &amp; APIF_Import!$I$1,Podesavanja!$AA$3:$AD$28, 4, 0), 0))</f>
        <v/>
      </c>
      <c r="J412" s="230" t="str">
        <f ca="1">IF( ISNA( VLOOKUP( APIF_Import!$O412 &amp; APIF_Import!$J$1,Podesavanja!$AA$3:$AD$28, 4, 0)), "", VLOOKUP( APIF_Import!$C412, INDIRECT( "Lookup_" &amp; APIF_Import!$M412:$O412), VLOOKUP( APIF_Import!$O412 &amp; APIF_Import!$J$1,Podesavanja!$AA$3:$AD$28, 4, 0), 0))</f>
        <v/>
      </c>
      <c r="K412" s="230" t="str">
        <f ca="1">IF( ISNA( VLOOKUP( APIF_Import!$O412 &amp; APIF_Import!$K$1,Podesavanja!$AA$3:$AD$28, 4, 0)), "", VLOOKUP( APIF_Import!$C412, INDIRECT( "Lookup_" &amp; APIF_Import!$M412:$O412), VLOOKUP( APIF_Import!$O412 &amp; APIF_Import!$K$1,Podesavanja!$AA$3:$AD$28, 4, 0), 0))</f>
        <v/>
      </c>
      <c r="L412" s="230" t="str">
        <f ca="1">IF( ISNA( VLOOKUP( APIF_Import!$O412 &amp; APIF_Import!$L$1,Podesavanja!$AA$3:$AD$28, 4, 0)), "", VLOOKUP( APIF_Import!$C412, INDIRECT( "Lookup_" &amp; APIF_Import!$M412:$O412), VLOOKUP( APIF_Import!$O412 &amp; APIF_Import!$L$1,Podesavanja!$AA$3:$AD$28, 4, 0), 0))</f>
        <v/>
      </c>
      <c r="M412" s="230" t="str">
        <f ca="1">IF( ISNA( VLOOKUP( APIF_Import!$O412 &amp; APIF_Import!$M$1,Podesavanja!$AA$3:$AD$28, 4, 0)), "", VLOOKUP( APIF_Import!$C412, INDIRECT( "Lookup_" &amp; APIF_Import!$M412:$O412), VLOOKUP( APIF_Import!$O412 &amp; APIF_Import!$M$1,Podesavanja!$AA$3:$AD$28, 4, 0), 0))</f>
        <v/>
      </c>
      <c r="N412" s="8">
        <v>413</v>
      </c>
      <c r="O412" s="8" t="s">
        <v>1538</v>
      </c>
    </row>
    <row r="413" spans="2:15">
      <c r="B413" s="44">
        <f ca="1">VLOOKUP( APIF_Import!$O413, Podesavanja!$N$3:$Q$9, 4, 0)</f>
        <v>4</v>
      </c>
      <c r="C413" s="229">
        <f ca="1">VLOOKUP( APIF_Import!$N413, Aop!$A$2:$P$456, 4, 0)</f>
        <v>663</v>
      </c>
      <c r="D413" s="230" t="str">
        <f ca="1">IF( ISNA( VLOOKUP( APIF_Import!$O413 &amp; APIF_Import!$D$1,Podesavanja!$AA$3:$AD$28, 4, 0)), "", SUBSTITUTE( VALUE( VLOOKUP( APIF_Import!$C413, INDIRECT( "Lookup_" &amp; APIF_Import!$O413), VLOOKUP( APIF_Import!$O413 &amp; APIF_Import!$D$1,Podesavanja!$AA$3:$AD$28, 4, 0), 0)), ".", ","))</f>
        <v>0</v>
      </c>
      <c r="E413" s="230">
        <f ca="1">IF( ISNA( VLOOKUP( APIF_Import!$O413 &amp; APIF_Import!$E$1,Podesavanja!$AA$3:$AD$28, 4, 0)), "", VLOOKUP( APIF_Import!$C413, INDIRECT( "Lookup_" &amp; APIF_Import!$O413), VLOOKUP( APIF_Import!$O413 &amp; APIF_Import!$E$1,Podesavanja!$AA$3:$AD$28, 4, 0), 0))</f>
        <v>0</v>
      </c>
      <c r="F413" s="230" t="str">
        <f ca="1">IF( ISNA( VLOOKUP( APIF_Import!$O413 &amp; APIF_Import!$F$1,Podesavanja!$AA$3:$AD$28, 4, 0)), "", VLOOKUP( APIF_Import!$C413, INDIRECT( "Lookup_" &amp; APIF_Import!$O413), VLOOKUP( APIF_Import!$O413 &amp; APIF_Import!$F$1,Podesavanja!$AA$3:$AD$28, 4, 0), 0))</f>
        <v/>
      </c>
      <c r="G413" s="230" t="str">
        <f ca="1">IF( ISNA( VLOOKUP( APIF_Import!$O413 &amp; APIF_Import!$G$1,Podesavanja!$AA$3:$AD$28, 4, 0)), "", VLOOKUP( APIF_Import!$C413, INDIRECT( "Lookup_" &amp; APIF_Import!$O413), VLOOKUP( APIF_Import!$O413 &amp; APIF_Import!$G$1,Podesavanja!$AA$3:$AD$28, 4, 0), 0))</f>
        <v/>
      </c>
      <c r="H413" s="230" t="str">
        <f ca="1">IF( ISNA( VLOOKUP( APIF_Import!$O413 &amp; APIF_Import!$H$1,Podesavanja!$AA$3:$AD$28, 4, 0)), "", VLOOKUP( APIF_Import!$C413, INDIRECT( "Lookup_" &amp; APIF_Import!$O413), VLOOKUP( APIF_Import!$O413 &amp; APIF_Import!$H$1,Podesavanja!$AA$3:$AD$28, 4, 0), 0))</f>
        <v/>
      </c>
      <c r="I413" s="230" t="str">
        <f ca="1">IF( ISNA( VLOOKUP( APIF_Import!$O413 &amp; APIF_Import!$I$1,Podesavanja!$AA$3:$AD$28, 4, 0)), "", VLOOKUP( APIF_Import!$C413, INDIRECT( "Lookup_" &amp; APIF_Import!$M413:$O413), VLOOKUP( APIF_Import!$O413 &amp; APIF_Import!$I$1,Podesavanja!$AA$3:$AD$28, 4, 0), 0))</f>
        <v/>
      </c>
      <c r="J413" s="230" t="str">
        <f ca="1">IF( ISNA( VLOOKUP( APIF_Import!$O413 &amp; APIF_Import!$J$1,Podesavanja!$AA$3:$AD$28, 4, 0)), "", VLOOKUP( APIF_Import!$C413, INDIRECT( "Lookup_" &amp; APIF_Import!$M413:$O413), VLOOKUP( APIF_Import!$O413 &amp; APIF_Import!$J$1,Podesavanja!$AA$3:$AD$28, 4, 0), 0))</f>
        <v/>
      </c>
      <c r="K413" s="230" t="str">
        <f ca="1">IF( ISNA( VLOOKUP( APIF_Import!$O413 &amp; APIF_Import!$K$1,Podesavanja!$AA$3:$AD$28, 4, 0)), "", VLOOKUP( APIF_Import!$C413, INDIRECT( "Lookup_" &amp; APIF_Import!$M413:$O413), VLOOKUP( APIF_Import!$O413 &amp; APIF_Import!$K$1,Podesavanja!$AA$3:$AD$28, 4, 0), 0))</f>
        <v/>
      </c>
      <c r="L413" s="230" t="str">
        <f ca="1">IF( ISNA( VLOOKUP( APIF_Import!$O413 &amp; APIF_Import!$L$1,Podesavanja!$AA$3:$AD$28, 4, 0)), "", VLOOKUP( APIF_Import!$C413, INDIRECT( "Lookup_" &amp; APIF_Import!$M413:$O413), VLOOKUP( APIF_Import!$O413 &amp; APIF_Import!$L$1,Podesavanja!$AA$3:$AD$28, 4, 0), 0))</f>
        <v/>
      </c>
      <c r="M413" s="230" t="str">
        <f ca="1">IF( ISNA( VLOOKUP( APIF_Import!$O413 &amp; APIF_Import!$M$1,Podesavanja!$AA$3:$AD$28, 4, 0)), "", VLOOKUP( APIF_Import!$C413, INDIRECT( "Lookup_" &amp; APIF_Import!$M413:$O413), VLOOKUP( APIF_Import!$O413 &amp; APIF_Import!$M$1,Podesavanja!$AA$3:$AD$28, 4, 0), 0))</f>
        <v/>
      </c>
      <c r="N413" s="8">
        <v>414</v>
      </c>
      <c r="O413" s="8" t="s">
        <v>1538</v>
      </c>
    </row>
    <row r="414" spans="2:15">
      <c r="B414" s="44">
        <f ca="1">VLOOKUP( APIF_Import!$O414, Podesavanja!$N$3:$Q$9, 4, 0)</f>
        <v>4</v>
      </c>
      <c r="C414" s="229">
        <f ca="1">VLOOKUP( APIF_Import!$N414, Aop!$A$2:$P$456, 4, 0)</f>
        <v>664</v>
      </c>
      <c r="D414" s="230" t="str">
        <f ca="1">IF( ISNA( VLOOKUP( APIF_Import!$O414 &amp; APIF_Import!$D$1,Podesavanja!$AA$3:$AD$28, 4, 0)), "", SUBSTITUTE( VALUE( VLOOKUP( APIF_Import!$C414, INDIRECT( "Lookup_" &amp; APIF_Import!$O414), VLOOKUP( APIF_Import!$O414 &amp; APIF_Import!$D$1,Podesavanja!$AA$3:$AD$28, 4, 0), 0)), ".", ","))</f>
        <v>0</v>
      </c>
      <c r="E414" s="230">
        <f ca="1">IF( ISNA( VLOOKUP( APIF_Import!$O414 &amp; APIF_Import!$E$1,Podesavanja!$AA$3:$AD$28, 4, 0)), "", VLOOKUP( APIF_Import!$C414, INDIRECT( "Lookup_" &amp; APIF_Import!$O414), VLOOKUP( APIF_Import!$O414 &amp; APIF_Import!$E$1,Podesavanja!$AA$3:$AD$28, 4, 0), 0))</f>
        <v>0</v>
      </c>
      <c r="F414" s="230" t="str">
        <f ca="1">IF( ISNA( VLOOKUP( APIF_Import!$O414 &amp; APIF_Import!$F$1,Podesavanja!$AA$3:$AD$28, 4, 0)), "", VLOOKUP( APIF_Import!$C414, INDIRECT( "Lookup_" &amp; APIF_Import!$O414), VLOOKUP( APIF_Import!$O414 &amp; APIF_Import!$F$1,Podesavanja!$AA$3:$AD$28, 4, 0), 0))</f>
        <v/>
      </c>
      <c r="G414" s="230" t="str">
        <f ca="1">IF( ISNA( VLOOKUP( APIF_Import!$O414 &amp; APIF_Import!$G$1,Podesavanja!$AA$3:$AD$28, 4, 0)), "", VLOOKUP( APIF_Import!$C414, INDIRECT( "Lookup_" &amp; APIF_Import!$O414), VLOOKUP( APIF_Import!$O414 &amp; APIF_Import!$G$1,Podesavanja!$AA$3:$AD$28, 4, 0), 0))</f>
        <v/>
      </c>
      <c r="H414" s="230" t="str">
        <f ca="1">IF( ISNA( VLOOKUP( APIF_Import!$O414 &amp; APIF_Import!$H$1,Podesavanja!$AA$3:$AD$28, 4, 0)), "", VLOOKUP( APIF_Import!$C414, INDIRECT( "Lookup_" &amp; APIF_Import!$O414), VLOOKUP( APIF_Import!$O414 &amp; APIF_Import!$H$1,Podesavanja!$AA$3:$AD$28, 4, 0), 0))</f>
        <v/>
      </c>
      <c r="I414" s="230" t="str">
        <f ca="1">IF( ISNA( VLOOKUP( APIF_Import!$O414 &amp; APIF_Import!$I$1,Podesavanja!$AA$3:$AD$28, 4, 0)), "", VLOOKUP( APIF_Import!$C414, INDIRECT( "Lookup_" &amp; APIF_Import!$M414:$O414), VLOOKUP( APIF_Import!$O414 &amp; APIF_Import!$I$1,Podesavanja!$AA$3:$AD$28, 4, 0), 0))</f>
        <v/>
      </c>
      <c r="J414" s="230" t="str">
        <f ca="1">IF( ISNA( VLOOKUP( APIF_Import!$O414 &amp; APIF_Import!$J$1,Podesavanja!$AA$3:$AD$28, 4, 0)), "", VLOOKUP( APIF_Import!$C414, INDIRECT( "Lookup_" &amp; APIF_Import!$M414:$O414), VLOOKUP( APIF_Import!$O414 &amp; APIF_Import!$J$1,Podesavanja!$AA$3:$AD$28, 4, 0), 0))</f>
        <v/>
      </c>
      <c r="K414" s="230" t="str">
        <f ca="1">IF( ISNA( VLOOKUP( APIF_Import!$O414 &amp; APIF_Import!$K$1,Podesavanja!$AA$3:$AD$28, 4, 0)), "", VLOOKUP( APIF_Import!$C414, INDIRECT( "Lookup_" &amp; APIF_Import!$M414:$O414), VLOOKUP( APIF_Import!$O414 &amp; APIF_Import!$K$1,Podesavanja!$AA$3:$AD$28, 4, 0), 0))</f>
        <v/>
      </c>
      <c r="L414" s="230" t="str">
        <f ca="1">IF( ISNA( VLOOKUP( APIF_Import!$O414 &amp; APIF_Import!$L$1,Podesavanja!$AA$3:$AD$28, 4, 0)), "", VLOOKUP( APIF_Import!$C414, INDIRECT( "Lookup_" &amp; APIF_Import!$M414:$O414), VLOOKUP( APIF_Import!$O414 &amp; APIF_Import!$L$1,Podesavanja!$AA$3:$AD$28, 4, 0), 0))</f>
        <v/>
      </c>
      <c r="M414" s="230" t="str">
        <f ca="1">IF( ISNA( VLOOKUP( APIF_Import!$O414 &amp; APIF_Import!$M$1,Podesavanja!$AA$3:$AD$28, 4, 0)), "", VLOOKUP( APIF_Import!$C414, INDIRECT( "Lookup_" &amp; APIF_Import!$M414:$O414), VLOOKUP( APIF_Import!$O414 &amp; APIF_Import!$M$1,Podesavanja!$AA$3:$AD$28, 4, 0), 0))</f>
        <v/>
      </c>
      <c r="N414" s="8">
        <v>415</v>
      </c>
      <c r="O414" s="8" t="s">
        <v>1538</v>
      </c>
    </row>
    <row r="415" spans="2:15">
      <c r="B415" s="44">
        <f ca="1">VLOOKUP( APIF_Import!$O415, Podesavanja!$N$3:$Q$9, 4, 0)</f>
        <v>4</v>
      </c>
      <c r="C415" s="229">
        <f ca="1">VLOOKUP( APIF_Import!$N415, Aop!$A$2:$P$456, 4, 0)</f>
        <v>665</v>
      </c>
      <c r="D415" s="230" t="str">
        <f ca="1">IF( ISNA( VLOOKUP( APIF_Import!$O415 &amp; APIF_Import!$D$1,Podesavanja!$AA$3:$AD$28, 4, 0)), "", SUBSTITUTE( VALUE( VLOOKUP( APIF_Import!$C415, INDIRECT( "Lookup_" &amp; APIF_Import!$O415), VLOOKUP( APIF_Import!$O415 &amp; APIF_Import!$D$1,Podesavanja!$AA$3:$AD$28, 4, 0), 0)), ".", ","))</f>
        <v>0</v>
      </c>
      <c r="E415" s="230">
        <f ca="1">IF( ISNA( VLOOKUP( APIF_Import!$O415 &amp; APIF_Import!$E$1,Podesavanja!$AA$3:$AD$28, 4, 0)), "", VLOOKUP( APIF_Import!$C415, INDIRECT( "Lookup_" &amp; APIF_Import!$O415), VLOOKUP( APIF_Import!$O415 &amp; APIF_Import!$E$1,Podesavanja!$AA$3:$AD$28, 4, 0), 0))</f>
        <v>0</v>
      </c>
      <c r="F415" s="230" t="str">
        <f ca="1">IF( ISNA( VLOOKUP( APIF_Import!$O415 &amp; APIF_Import!$F$1,Podesavanja!$AA$3:$AD$28, 4, 0)), "", VLOOKUP( APIF_Import!$C415, INDIRECT( "Lookup_" &amp; APIF_Import!$O415), VLOOKUP( APIF_Import!$O415 &amp; APIF_Import!$F$1,Podesavanja!$AA$3:$AD$28, 4, 0), 0))</f>
        <v/>
      </c>
      <c r="G415" s="230" t="str">
        <f ca="1">IF( ISNA( VLOOKUP( APIF_Import!$O415 &amp; APIF_Import!$G$1,Podesavanja!$AA$3:$AD$28, 4, 0)), "", VLOOKUP( APIF_Import!$C415, INDIRECT( "Lookup_" &amp; APIF_Import!$O415), VLOOKUP( APIF_Import!$O415 &amp; APIF_Import!$G$1,Podesavanja!$AA$3:$AD$28, 4, 0), 0))</f>
        <v/>
      </c>
      <c r="H415" s="230" t="str">
        <f ca="1">IF( ISNA( VLOOKUP( APIF_Import!$O415 &amp; APIF_Import!$H$1,Podesavanja!$AA$3:$AD$28, 4, 0)), "", VLOOKUP( APIF_Import!$C415, INDIRECT( "Lookup_" &amp; APIF_Import!$O415), VLOOKUP( APIF_Import!$O415 &amp; APIF_Import!$H$1,Podesavanja!$AA$3:$AD$28, 4, 0), 0))</f>
        <v/>
      </c>
      <c r="I415" s="230" t="str">
        <f ca="1">IF( ISNA( VLOOKUP( APIF_Import!$O415 &amp; APIF_Import!$I$1,Podesavanja!$AA$3:$AD$28, 4, 0)), "", VLOOKUP( APIF_Import!$C415, INDIRECT( "Lookup_" &amp; APIF_Import!$M415:$O415), VLOOKUP( APIF_Import!$O415 &amp; APIF_Import!$I$1,Podesavanja!$AA$3:$AD$28, 4, 0), 0))</f>
        <v/>
      </c>
      <c r="J415" s="230" t="str">
        <f ca="1">IF( ISNA( VLOOKUP( APIF_Import!$O415 &amp; APIF_Import!$J$1,Podesavanja!$AA$3:$AD$28, 4, 0)), "", VLOOKUP( APIF_Import!$C415, INDIRECT( "Lookup_" &amp; APIF_Import!$M415:$O415), VLOOKUP( APIF_Import!$O415 &amp; APIF_Import!$J$1,Podesavanja!$AA$3:$AD$28, 4, 0), 0))</f>
        <v/>
      </c>
      <c r="K415" s="230" t="str">
        <f ca="1">IF( ISNA( VLOOKUP( APIF_Import!$O415 &amp; APIF_Import!$K$1,Podesavanja!$AA$3:$AD$28, 4, 0)), "", VLOOKUP( APIF_Import!$C415, INDIRECT( "Lookup_" &amp; APIF_Import!$M415:$O415), VLOOKUP( APIF_Import!$O415 &amp; APIF_Import!$K$1,Podesavanja!$AA$3:$AD$28, 4, 0), 0))</f>
        <v/>
      </c>
      <c r="L415" s="230" t="str">
        <f ca="1">IF( ISNA( VLOOKUP( APIF_Import!$O415 &amp; APIF_Import!$L$1,Podesavanja!$AA$3:$AD$28, 4, 0)), "", VLOOKUP( APIF_Import!$C415, INDIRECT( "Lookup_" &amp; APIF_Import!$M415:$O415), VLOOKUP( APIF_Import!$O415 &amp; APIF_Import!$L$1,Podesavanja!$AA$3:$AD$28, 4, 0), 0))</f>
        <v/>
      </c>
      <c r="M415" s="230" t="str">
        <f ca="1">IF( ISNA( VLOOKUP( APIF_Import!$O415 &amp; APIF_Import!$M$1,Podesavanja!$AA$3:$AD$28, 4, 0)), "", VLOOKUP( APIF_Import!$C415, INDIRECT( "Lookup_" &amp; APIF_Import!$M415:$O415), VLOOKUP( APIF_Import!$O415 &amp; APIF_Import!$M$1,Podesavanja!$AA$3:$AD$28, 4, 0), 0))</f>
        <v/>
      </c>
      <c r="N415" s="8">
        <v>416</v>
      </c>
      <c r="O415" s="8" t="s">
        <v>1538</v>
      </c>
    </row>
    <row r="416" spans="2:15">
      <c r="B416" s="44">
        <f ca="1">VLOOKUP( APIF_Import!$O416, Podesavanja!$N$3:$Q$9, 4, 0)</f>
        <v>4</v>
      </c>
      <c r="C416" s="229">
        <f ca="1">VLOOKUP( APIF_Import!$N416, Aop!$A$2:$P$456, 4, 0)</f>
        <v>666</v>
      </c>
      <c r="D416" s="230" t="str">
        <f ca="1">IF( ISNA( VLOOKUP( APIF_Import!$O416 &amp; APIF_Import!$D$1,Podesavanja!$AA$3:$AD$28, 4, 0)), "", SUBSTITUTE( VALUE( VLOOKUP( APIF_Import!$C416, INDIRECT( "Lookup_" &amp; APIF_Import!$O416), VLOOKUP( APIF_Import!$O416 &amp; APIF_Import!$D$1,Podesavanja!$AA$3:$AD$28, 4, 0), 0)), ".", ","))</f>
        <v>0</v>
      </c>
      <c r="E416" s="230">
        <f ca="1">IF( ISNA( VLOOKUP( APIF_Import!$O416 &amp; APIF_Import!$E$1,Podesavanja!$AA$3:$AD$28, 4, 0)), "", VLOOKUP( APIF_Import!$C416, INDIRECT( "Lookup_" &amp; APIF_Import!$O416), VLOOKUP( APIF_Import!$O416 &amp; APIF_Import!$E$1,Podesavanja!$AA$3:$AD$28, 4, 0), 0))</f>
        <v>0</v>
      </c>
      <c r="F416" s="230" t="str">
        <f ca="1">IF( ISNA( VLOOKUP( APIF_Import!$O416 &amp; APIF_Import!$F$1,Podesavanja!$AA$3:$AD$28, 4, 0)), "", VLOOKUP( APIF_Import!$C416, INDIRECT( "Lookup_" &amp; APIF_Import!$O416), VLOOKUP( APIF_Import!$O416 &amp; APIF_Import!$F$1,Podesavanja!$AA$3:$AD$28, 4, 0), 0))</f>
        <v/>
      </c>
      <c r="G416" s="230" t="str">
        <f ca="1">IF( ISNA( VLOOKUP( APIF_Import!$O416 &amp; APIF_Import!$G$1,Podesavanja!$AA$3:$AD$28, 4, 0)), "", VLOOKUP( APIF_Import!$C416, INDIRECT( "Lookup_" &amp; APIF_Import!$O416), VLOOKUP( APIF_Import!$O416 &amp; APIF_Import!$G$1,Podesavanja!$AA$3:$AD$28, 4, 0), 0))</f>
        <v/>
      </c>
      <c r="H416" s="230" t="str">
        <f ca="1">IF( ISNA( VLOOKUP( APIF_Import!$O416 &amp; APIF_Import!$H$1,Podesavanja!$AA$3:$AD$28, 4, 0)), "", VLOOKUP( APIF_Import!$C416, INDIRECT( "Lookup_" &amp; APIF_Import!$O416), VLOOKUP( APIF_Import!$O416 &amp; APIF_Import!$H$1,Podesavanja!$AA$3:$AD$28, 4, 0), 0))</f>
        <v/>
      </c>
      <c r="I416" s="230" t="str">
        <f ca="1">IF( ISNA( VLOOKUP( APIF_Import!$O416 &amp; APIF_Import!$I$1,Podesavanja!$AA$3:$AD$28, 4, 0)), "", VLOOKUP( APIF_Import!$C416, INDIRECT( "Lookup_" &amp; APIF_Import!$M416:$O416), VLOOKUP( APIF_Import!$O416 &amp; APIF_Import!$I$1,Podesavanja!$AA$3:$AD$28, 4, 0), 0))</f>
        <v/>
      </c>
      <c r="J416" s="230" t="str">
        <f ca="1">IF( ISNA( VLOOKUP( APIF_Import!$O416 &amp; APIF_Import!$J$1,Podesavanja!$AA$3:$AD$28, 4, 0)), "", VLOOKUP( APIF_Import!$C416, INDIRECT( "Lookup_" &amp; APIF_Import!$M416:$O416), VLOOKUP( APIF_Import!$O416 &amp; APIF_Import!$J$1,Podesavanja!$AA$3:$AD$28, 4, 0), 0))</f>
        <v/>
      </c>
      <c r="K416" s="230" t="str">
        <f ca="1">IF( ISNA( VLOOKUP( APIF_Import!$O416 &amp; APIF_Import!$K$1,Podesavanja!$AA$3:$AD$28, 4, 0)), "", VLOOKUP( APIF_Import!$C416, INDIRECT( "Lookup_" &amp; APIF_Import!$M416:$O416), VLOOKUP( APIF_Import!$O416 &amp; APIF_Import!$K$1,Podesavanja!$AA$3:$AD$28, 4, 0), 0))</f>
        <v/>
      </c>
      <c r="L416" s="230" t="str">
        <f ca="1">IF( ISNA( VLOOKUP( APIF_Import!$O416 &amp; APIF_Import!$L$1,Podesavanja!$AA$3:$AD$28, 4, 0)), "", VLOOKUP( APIF_Import!$C416, INDIRECT( "Lookup_" &amp; APIF_Import!$M416:$O416), VLOOKUP( APIF_Import!$O416 &amp; APIF_Import!$L$1,Podesavanja!$AA$3:$AD$28, 4, 0), 0))</f>
        <v/>
      </c>
      <c r="M416" s="230" t="str">
        <f ca="1">IF( ISNA( VLOOKUP( APIF_Import!$O416 &amp; APIF_Import!$M$1,Podesavanja!$AA$3:$AD$28, 4, 0)), "", VLOOKUP( APIF_Import!$C416, INDIRECT( "Lookup_" &amp; APIF_Import!$M416:$O416), VLOOKUP( APIF_Import!$O416 &amp; APIF_Import!$M$1,Podesavanja!$AA$3:$AD$28, 4, 0), 0))</f>
        <v/>
      </c>
      <c r="N416" s="8">
        <v>417</v>
      </c>
      <c r="O416" s="8" t="s">
        <v>1538</v>
      </c>
    </row>
    <row r="417" spans="2:15">
      <c r="B417" s="44">
        <f ca="1">VLOOKUP( APIF_Import!$O417, Podesavanja!$N$3:$Q$9, 4, 0)</f>
        <v>4</v>
      </c>
      <c r="C417" s="229">
        <f ca="1">VLOOKUP( APIF_Import!$N417, Aop!$A$2:$P$456, 4, 0)</f>
        <v>667</v>
      </c>
      <c r="D417" s="230" t="str">
        <f ca="1">IF( ISNA( VLOOKUP( APIF_Import!$O417 &amp; APIF_Import!$D$1,Podesavanja!$AA$3:$AD$28, 4, 0)), "", SUBSTITUTE( VALUE( VLOOKUP( APIF_Import!$C417, INDIRECT( "Lookup_" &amp; APIF_Import!$O417), VLOOKUP( APIF_Import!$O417 &amp; APIF_Import!$D$1,Podesavanja!$AA$3:$AD$28, 4, 0), 0)), ".", ","))</f>
        <v>0</v>
      </c>
      <c r="E417" s="230">
        <f ca="1">IF( ISNA( VLOOKUP( APIF_Import!$O417 &amp; APIF_Import!$E$1,Podesavanja!$AA$3:$AD$28, 4, 0)), "", VLOOKUP( APIF_Import!$C417, INDIRECT( "Lookup_" &amp; APIF_Import!$O417), VLOOKUP( APIF_Import!$O417 &amp; APIF_Import!$E$1,Podesavanja!$AA$3:$AD$28, 4, 0), 0))</f>
        <v>0</v>
      </c>
      <c r="F417" s="230" t="str">
        <f ca="1">IF( ISNA( VLOOKUP( APIF_Import!$O417 &amp; APIF_Import!$F$1,Podesavanja!$AA$3:$AD$28, 4, 0)), "", VLOOKUP( APIF_Import!$C417, INDIRECT( "Lookup_" &amp; APIF_Import!$O417), VLOOKUP( APIF_Import!$O417 &amp; APIF_Import!$F$1,Podesavanja!$AA$3:$AD$28, 4, 0), 0))</f>
        <v/>
      </c>
      <c r="G417" s="230" t="str">
        <f ca="1">IF( ISNA( VLOOKUP( APIF_Import!$O417 &amp; APIF_Import!$G$1,Podesavanja!$AA$3:$AD$28, 4, 0)), "", VLOOKUP( APIF_Import!$C417, INDIRECT( "Lookup_" &amp; APIF_Import!$O417), VLOOKUP( APIF_Import!$O417 &amp; APIF_Import!$G$1,Podesavanja!$AA$3:$AD$28, 4, 0), 0))</f>
        <v/>
      </c>
      <c r="H417" s="230" t="str">
        <f ca="1">IF( ISNA( VLOOKUP( APIF_Import!$O417 &amp; APIF_Import!$H$1,Podesavanja!$AA$3:$AD$28, 4, 0)), "", VLOOKUP( APIF_Import!$C417, INDIRECT( "Lookup_" &amp; APIF_Import!$O417), VLOOKUP( APIF_Import!$O417 &amp; APIF_Import!$H$1,Podesavanja!$AA$3:$AD$28, 4, 0), 0))</f>
        <v/>
      </c>
      <c r="I417" s="230" t="str">
        <f ca="1">IF( ISNA( VLOOKUP( APIF_Import!$O417 &amp; APIF_Import!$I$1,Podesavanja!$AA$3:$AD$28, 4, 0)), "", VLOOKUP( APIF_Import!$C417, INDIRECT( "Lookup_" &amp; APIF_Import!$M417:$O417), VLOOKUP( APIF_Import!$O417 &amp; APIF_Import!$I$1,Podesavanja!$AA$3:$AD$28, 4, 0), 0))</f>
        <v/>
      </c>
      <c r="J417" s="230" t="str">
        <f ca="1">IF( ISNA( VLOOKUP( APIF_Import!$O417 &amp; APIF_Import!$J$1,Podesavanja!$AA$3:$AD$28, 4, 0)), "", VLOOKUP( APIF_Import!$C417, INDIRECT( "Lookup_" &amp; APIF_Import!$M417:$O417), VLOOKUP( APIF_Import!$O417 &amp; APIF_Import!$J$1,Podesavanja!$AA$3:$AD$28, 4, 0), 0))</f>
        <v/>
      </c>
      <c r="K417" s="230" t="str">
        <f ca="1">IF( ISNA( VLOOKUP( APIF_Import!$O417 &amp; APIF_Import!$K$1,Podesavanja!$AA$3:$AD$28, 4, 0)), "", VLOOKUP( APIF_Import!$C417, INDIRECT( "Lookup_" &amp; APIF_Import!$M417:$O417), VLOOKUP( APIF_Import!$O417 &amp; APIF_Import!$K$1,Podesavanja!$AA$3:$AD$28, 4, 0), 0))</f>
        <v/>
      </c>
      <c r="L417" s="230" t="str">
        <f ca="1">IF( ISNA( VLOOKUP( APIF_Import!$O417 &amp; APIF_Import!$L$1,Podesavanja!$AA$3:$AD$28, 4, 0)), "", VLOOKUP( APIF_Import!$C417, INDIRECT( "Lookup_" &amp; APIF_Import!$M417:$O417), VLOOKUP( APIF_Import!$O417 &amp; APIF_Import!$L$1,Podesavanja!$AA$3:$AD$28, 4, 0), 0))</f>
        <v/>
      </c>
      <c r="M417" s="230" t="str">
        <f ca="1">IF( ISNA( VLOOKUP( APIF_Import!$O417 &amp; APIF_Import!$M$1,Podesavanja!$AA$3:$AD$28, 4, 0)), "", VLOOKUP( APIF_Import!$C417, INDIRECT( "Lookup_" &amp; APIF_Import!$M417:$O417), VLOOKUP( APIF_Import!$O417 &amp; APIF_Import!$M$1,Podesavanja!$AA$3:$AD$28, 4, 0), 0))</f>
        <v/>
      </c>
      <c r="N417" s="8">
        <v>418</v>
      </c>
      <c r="O417" s="8" t="s">
        <v>1538</v>
      </c>
    </row>
    <row r="418" spans="2:15">
      <c r="B418" s="44">
        <f ca="1">VLOOKUP( APIF_Import!$O418, Podesavanja!$N$3:$Q$9, 4, 0)</f>
        <v>4</v>
      </c>
      <c r="C418" s="229">
        <f ca="1">VLOOKUP( APIF_Import!$N418, Aop!$A$2:$P$456, 4, 0)</f>
        <v>668</v>
      </c>
      <c r="D418" s="230" t="str">
        <f ca="1">IF( ISNA( VLOOKUP( APIF_Import!$O418 &amp; APIF_Import!$D$1,Podesavanja!$AA$3:$AD$28, 4, 0)), "", SUBSTITUTE( VALUE( VLOOKUP( APIF_Import!$C418, INDIRECT( "Lookup_" &amp; APIF_Import!$O418), VLOOKUP( APIF_Import!$O418 &amp; APIF_Import!$D$1,Podesavanja!$AA$3:$AD$28, 4, 0), 0)), ".", ","))</f>
        <v>0</v>
      </c>
      <c r="E418" s="230">
        <f ca="1">IF( ISNA( VLOOKUP( APIF_Import!$O418 &amp; APIF_Import!$E$1,Podesavanja!$AA$3:$AD$28, 4, 0)), "", VLOOKUP( APIF_Import!$C418, INDIRECT( "Lookup_" &amp; APIF_Import!$O418), VLOOKUP( APIF_Import!$O418 &amp; APIF_Import!$E$1,Podesavanja!$AA$3:$AD$28, 4, 0), 0))</f>
        <v>0</v>
      </c>
      <c r="F418" s="230" t="str">
        <f ca="1">IF( ISNA( VLOOKUP( APIF_Import!$O418 &amp; APIF_Import!$F$1,Podesavanja!$AA$3:$AD$28, 4, 0)), "", VLOOKUP( APIF_Import!$C418, INDIRECT( "Lookup_" &amp; APIF_Import!$O418), VLOOKUP( APIF_Import!$O418 &amp; APIF_Import!$F$1,Podesavanja!$AA$3:$AD$28, 4, 0), 0))</f>
        <v/>
      </c>
      <c r="G418" s="230" t="str">
        <f ca="1">IF( ISNA( VLOOKUP( APIF_Import!$O418 &amp; APIF_Import!$G$1,Podesavanja!$AA$3:$AD$28, 4, 0)), "", VLOOKUP( APIF_Import!$C418, INDIRECT( "Lookup_" &amp; APIF_Import!$O418), VLOOKUP( APIF_Import!$O418 &amp; APIF_Import!$G$1,Podesavanja!$AA$3:$AD$28, 4, 0), 0))</f>
        <v/>
      </c>
      <c r="H418" s="230" t="str">
        <f ca="1">IF( ISNA( VLOOKUP( APIF_Import!$O418 &amp; APIF_Import!$H$1,Podesavanja!$AA$3:$AD$28, 4, 0)), "", VLOOKUP( APIF_Import!$C418, INDIRECT( "Lookup_" &amp; APIF_Import!$O418), VLOOKUP( APIF_Import!$O418 &amp; APIF_Import!$H$1,Podesavanja!$AA$3:$AD$28, 4, 0), 0))</f>
        <v/>
      </c>
      <c r="I418" s="230" t="str">
        <f ca="1">IF( ISNA( VLOOKUP( APIF_Import!$O418 &amp; APIF_Import!$I$1,Podesavanja!$AA$3:$AD$28, 4, 0)), "", VLOOKUP( APIF_Import!$C418, INDIRECT( "Lookup_" &amp; APIF_Import!$M418:$O418), VLOOKUP( APIF_Import!$O418 &amp; APIF_Import!$I$1,Podesavanja!$AA$3:$AD$28, 4, 0), 0))</f>
        <v/>
      </c>
      <c r="J418" s="230" t="str">
        <f ca="1">IF( ISNA( VLOOKUP( APIF_Import!$O418 &amp; APIF_Import!$J$1,Podesavanja!$AA$3:$AD$28, 4, 0)), "", VLOOKUP( APIF_Import!$C418, INDIRECT( "Lookup_" &amp; APIF_Import!$M418:$O418), VLOOKUP( APIF_Import!$O418 &amp; APIF_Import!$J$1,Podesavanja!$AA$3:$AD$28, 4, 0), 0))</f>
        <v/>
      </c>
      <c r="K418" s="230" t="str">
        <f ca="1">IF( ISNA( VLOOKUP( APIF_Import!$O418 &amp; APIF_Import!$K$1,Podesavanja!$AA$3:$AD$28, 4, 0)), "", VLOOKUP( APIF_Import!$C418, INDIRECT( "Lookup_" &amp; APIF_Import!$M418:$O418), VLOOKUP( APIF_Import!$O418 &amp; APIF_Import!$K$1,Podesavanja!$AA$3:$AD$28, 4, 0), 0))</f>
        <v/>
      </c>
      <c r="L418" s="230" t="str">
        <f ca="1">IF( ISNA( VLOOKUP( APIF_Import!$O418 &amp; APIF_Import!$L$1,Podesavanja!$AA$3:$AD$28, 4, 0)), "", VLOOKUP( APIF_Import!$C418, INDIRECT( "Lookup_" &amp; APIF_Import!$M418:$O418), VLOOKUP( APIF_Import!$O418 &amp; APIF_Import!$L$1,Podesavanja!$AA$3:$AD$28, 4, 0), 0))</f>
        <v/>
      </c>
      <c r="M418" s="230" t="str">
        <f ca="1">IF( ISNA( VLOOKUP( APIF_Import!$O418 &amp; APIF_Import!$M$1,Podesavanja!$AA$3:$AD$28, 4, 0)), "", VLOOKUP( APIF_Import!$C418, INDIRECT( "Lookup_" &amp; APIF_Import!$M418:$O418), VLOOKUP( APIF_Import!$O418 &amp; APIF_Import!$M$1,Podesavanja!$AA$3:$AD$28, 4, 0), 0))</f>
        <v/>
      </c>
      <c r="N418" s="8">
        <v>419</v>
      </c>
      <c r="O418" s="8" t="s">
        <v>1538</v>
      </c>
    </row>
    <row r="419" spans="2:15">
      <c r="B419" s="44">
        <f ca="1">VLOOKUP( APIF_Import!$O419, Podesavanja!$N$3:$Q$9, 4, 0)</f>
        <v>4</v>
      </c>
      <c r="C419" s="229">
        <f ca="1">VLOOKUP( APIF_Import!$N419, Aop!$A$2:$P$456, 4, 0)</f>
        <v>669</v>
      </c>
      <c r="D419" s="230" t="str">
        <f ca="1">IF( ISNA( VLOOKUP( APIF_Import!$O419 &amp; APIF_Import!$D$1,Podesavanja!$AA$3:$AD$28, 4, 0)), "", SUBSTITUTE( VALUE( VLOOKUP( APIF_Import!$C419, INDIRECT( "Lookup_" &amp; APIF_Import!$O419), VLOOKUP( APIF_Import!$O419 &amp; APIF_Import!$D$1,Podesavanja!$AA$3:$AD$28, 4, 0), 0)), ".", ","))</f>
        <v>0</v>
      </c>
      <c r="E419" s="230">
        <f ca="1">IF( ISNA( VLOOKUP( APIF_Import!$O419 &amp; APIF_Import!$E$1,Podesavanja!$AA$3:$AD$28, 4, 0)), "", VLOOKUP( APIF_Import!$C419, INDIRECT( "Lookup_" &amp; APIF_Import!$O419), VLOOKUP( APIF_Import!$O419 &amp; APIF_Import!$E$1,Podesavanja!$AA$3:$AD$28, 4, 0), 0))</f>
        <v>0</v>
      </c>
      <c r="F419" s="230" t="str">
        <f ca="1">IF( ISNA( VLOOKUP( APIF_Import!$O419 &amp; APIF_Import!$F$1,Podesavanja!$AA$3:$AD$28, 4, 0)), "", VLOOKUP( APIF_Import!$C419, INDIRECT( "Lookup_" &amp; APIF_Import!$O419), VLOOKUP( APIF_Import!$O419 &amp; APIF_Import!$F$1,Podesavanja!$AA$3:$AD$28, 4, 0), 0))</f>
        <v/>
      </c>
      <c r="G419" s="230" t="str">
        <f ca="1">IF( ISNA( VLOOKUP( APIF_Import!$O419 &amp; APIF_Import!$G$1,Podesavanja!$AA$3:$AD$28, 4, 0)), "", VLOOKUP( APIF_Import!$C419, INDIRECT( "Lookup_" &amp; APIF_Import!$O419), VLOOKUP( APIF_Import!$O419 &amp; APIF_Import!$G$1,Podesavanja!$AA$3:$AD$28, 4, 0), 0))</f>
        <v/>
      </c>
      <c r="H419" s="230" t="str">
        <f ca="1">IF( ISNA( VLOOKUP( APIF_Import!$O419 &amp; APIF_Import!$H$1,Podesavanja!$AA$3:$AD$28, 4, 0)), "", VLOOKUP( APIF_Import!$C419, INDIRECT( "Lookup_" &amp; APIF_Import!$O419), VLOOKUP( APIF_Import!$O419 &amp; APIF_Import!$H$1,Podesavanja!$AA$3:$AD$28, 4, 0), 0))</f>
        <v/>
      </c>
      <c r="I419" s="230" t="str">
        <f ca="1">IF( ISNA( VLOOKUP( APIF_Import!$O419 &amp; APIF_Import!$I$1,Podesavanja!$AA$3:$AD$28, 4, 0)), "", VLOOKUP( APIF_Import!$C419, INDIRECT( "Lookup_" &amp; APIF_Import!$M419:$O419), VLOOKUP( APIF_Import!$O419 &amp; APIF_Import!$I$1,Podesavanja!$AA$3:$AD$28, 4, 0), 0))</f>
        <v/>
      </c>
      <c r="J419" s="230" t="str">
        <f ca="1">IF( ISNA( VLOOKUP( APIF_Import!$O419 &amp; APIF_Import!$J$1,Podesavanja!$AA$3:$AD$28, 4, 0)), "", VLOOKUP( APIF_Import!$C419, INDIRECT( "Lookup_" &amp; APIF_Import!$M419:$O419), VLOOKUP( APIF_Import!$O419 &amp; APIF_Import!$J$1,Podesavanja!$AA$3:$AD$28, 4, 0), 0))</f>
        <v/>
      </c>
      <c r="K419" s="230" t="str">
        <f ca="1">IF( ISNA( VLOOKUP( APIF_Import!$O419 &amp; APIF_Import!$K$1,Podesavanja!$AA$3:$AD$28, 4, 0)), "", VLOOKUP( APIF_Import!$C419, INDIRECT( "Lookup_" &amp; APIF_Import!$M419:$O419), VLOOKUP( APIF_Import!$O419 &amp; APIF_Import!$K$1,Podesavanja!$AA$3:$AD$28, 4, 0), 0))</f>
        <v/>
      </c>
      <c r="L419" s="230" t="str">
        <f ca="1">IF( ISNA( VLOOKUP( APIF_Import!$O419 &amp; APIF_Import!$L$1,Podesavanja!$AA$3:$AD$28, 4, 0)), "", VLOOKUP( APIF_Import!$C419, INDIRECT( "Lookup_" &amp; APIF_Import!$M419:$O419), VLOOKUP( APIF_Import!$O419 &amp; APIF_Import!$L$1,Podesavanja!$AA$3:$AD$28, 4, 0), 0))</f>
        <v/>
      </c>
      <c r="M419" s="230" t="str">
        <f ca="1">IF( ISNA( VLOOKUP( APIF_Import!$O419 &amp; APIF_Import!$M$1,Podesavanja!$AA$3:$AD$28, 4, 0)), "", VLOOKUP( APIF_Import!$C419, INDIRECT( "Lookup_" &amp; APIF_Import!$M419:$O419), VLOOKUP( APIF_Import!$O419 &amp; APIF_Import!$M$1,Podesavanja!$AA$3:$AD$28, 4, 0), 0))</f>
        <v/>
      </c>
      <c r="N419" s="8">
        <v>420</v>
      </c>
      <c r="O419" s="8" t="s">
        <v>1538</v>
      </c>
    </row>
    <row r="420" spans="2:15">
      <c r="B420" s="431">
        <f ca="1">VLOOKUP( APIF_Import!$O420, Podesavanja!$N$3:$Q$9, 4, 0)</f>
        <v>4</v>
      </c>
      <c r="C420" s="432">
        <f ca="1">VLOOKUP( APIF_Import!$N420, Aop!$A$2:$P$456, 4, 0)</f>
        <v>670</v>
      </c>
      <c r="D420" s="433" t="str">
        <f ca="1">IF( ISNA( VLOOKUP( APIF_Import!$O420 &amp; APIF_Import!$D$1,Podesavanja!$AA$3:$AD$28, 4, 0)), "", SUBSTITUTE( VALUE( VLOOKUP( APIF_Import!$C420, INDIRECT( "Lookup_" &amp; APIF_Import!$O420), VLOOKUP( APIF_Import!$O420 &amp; APIF_Import!$D$1,Podesavanja!$AA$3:$AD$28, 4, 0), 0)), ".", ","))</f>
        <v>0</v>
      </c>
      <c r="E420" s="433">
        <f ca="1">IF( ISNA( VLOOKUP( APIF_Import!$O420 &amp; APIF_Import!$E$1,Podesavanja!$AA$3:$AD$28, 4, 0)), "", VLOOKUP( APIF_Import!$C420, INDIRECT( "Lookup_" &amp; APIF_Import!$O420), VLOOKUP( APIF_Import!$O420 &amp; APIF_Import!$E$1,Podesavanja!$AA$3:$AD$28, 4, 0), 0))</f>
        <v>0</v>
      </c>
      <c r="F420" s="433" t="str">
        <f ca="1">IF( ISNA( VLOOKUP( APIF_Import!$O420 &amp; APIF_Import!$F$1,Podesavanja!$AA$3:$AD$28, 4, 0)), "", VLOOKUP( APIF_Import!$C420, INDIRECT( "Lookup_" &amp; APIF_Import!$O420), VLOOKUP( APIF_Import!$O420 &amp; APIF_Import!$F$1,Podesavanja!$AA$3:$AD$28, 4, 0), 0))</f>
        <v/>
      </c>
      <c r="G420" s="433" t="str">
        <f ca="1">IF( ISNA( VLOOKUP( APIF_Import!$O420 &amp; APIF_Import!$G$1,Podesavanja!$AA$3:$AD$28, 4, 0)), "", VLOOKUP( APIF_Import!$C420, INDIRECT( "Lookup_" &amp; APIF_Import!$O420), VLOOKUP( APIF_Import!$O420 &amp; APIF_Import!$G$1,Podesavanja!$AA$3:$AD$28, 4, 0), 0))</f>
        <v/>
      </c>
      <c r="H420" s="433" t="str">
        <f ca="1">IF( ISNA( VLOOKUP( APIF_Import!$O420 &amp; APIF_Import!$H$1,Podesavanja!$AA$3:$AD$28, 4, 0)), "", VLOOKUP( APIF_Import!$C420, INDIRECT( "Lookup_" &amp; APIF_Import!$O420), VLOOKUP( APIF_Import!$O420 &amp; APIF_Import!$H$1,Podesavanja!$AA$3:$AD$28, 4, 0), 0))</f>
        <v/>
      </c>
      <c r="I420" s="259" t="str">
        <f ca="1">IF( ISNA( VLOOKUP( APIF_Import!$O420 &amp; APIF_Import!$I$1,Podesavanja!$AA$3:$AD$28, 4, 0)), "", VLOOKUP( APIF_Import!$C420, INDIRECT( "Lookup_" &amp; APIF_Import!$M420:$O420), VLOOKUP( APIF_Import!$O420 &amp; APIF_Import!$I$1,Podesavanja!$AA$3:$AD$28, 4, 0), 0))</f>
        <v/>
      </c>
      <c r="J420" s="259" t="str">
        <f ca="1">IF( ISNA( VLOOKUP( APIF_Import!$O420 &amp; APIF_Import!$J$1,Podesavanja!$AA$3:$AD$28, 4, 0)), "", VLOOKUP( APIF_Import!$C420, INDIRECT( "Lookup_" &amp; APIF_Import!$M420:$O420), VLOOKUP( APIF_Import!$O420 &amp; APIF_Import!$J$1,Podesavanja!$AA$3:$AD$28, 4, 0), 0))</f>
        <v/>
      </c>
      <c r="K420" s="259" t="str">
        <f ca="1">IF( ISNA( VLOOKUP( APIF_Import!$O420 &amp; APIF_Import!$K$1,Podesavanja!$AA$3:$AD$28, 4, 0)), "", VLOOKUP( APIF_Import!$C420, INDIRECT( "Lookup_" &amp; APIF_Import!$M420:$O420), VLOOKUP( APIF_Import!$O420 &amp; APIF_Import!$K$1,Podesavanja!$AA$3:$AD$28, 4, 0), 0))</f>
        <v/>
      </c>
      <c r="L420" s="259" t="str">
        <f ca="1">IF( ISNA( VLOOKUP( APIF_Import!$O420 &amp; APIF_Import!$L$1,Podesavanja!$AA$3:$AD$28, 4, 0)), "", VLOOKUP( APIF_Import!$C420, INDIRECT( "Lookup_" &amp; APIF_Import!$M420:$O420), VLOOKUP( APIF_Import!$O420 &amp; APIF_Import!$L$1,Podesavanja!$AA$3:$AD$28, 4, 0), 0))</f>
        <v/>
      </c>
      <c r="M420" s="259" t="str">
        <f ca="1">IF( ISNA( VLOOKUP( APIF_Import!$O420 &amp; APIF_Import!$M$1,Podesavanja!$AA$3:$AD$28, 4, 0)), "", VLOOKUP( APIF_Import!$C420, INDIRECT( "Lookup_" &amp; APIF_Import!$M420:$O420), VLOOKUP( APIF_Import!$O420 &amp; APIF_Import!$M$1,Podesavanja!$AA$3:$AD$28, 4, 0), 0))</f>
        <v/>
      </c>
      <c r="N420" s="8">
        <v>421</v>
      </c>
      <c r="O420" s="8" t="s">
        <v>1538</v>
      </c>
    </row>
    <row r="421" spans="2:15">
      <c r="B421" s="44">
        <f ca="1">VLOOKUP( APIF_Import!$O421, Podesavanja!$N$3:$Q$9, 4, 0)</f>
        <v>6</v>
      </c>
      <c r="C421" s="229">
        <f ca="1">VLOOKUP( APIF_Import!$N421, Aop!$A$2:$P$456, 4, 0)</f>
        <v>901</v>
      </c>
      <c r="D421" s="230" t="str">
        <f ca="1">IF( ISNA( VLOOKUP( APIF_Import!$O421 &amp; APIF_Import!$D$1,Podesavanja!$AA$3:$AD$28, 4, 0)), "", SUBSTITUTE( VALUE( VLOOKUP( APIF_Import!$C421, INDIRECT( "Lookup_" &amp; APIF_Import!$O421), VLOOKUP( APIF_Import!$O421 &amp; APIF_Import!$D$1,Podesavanja!$AA$3:$AD$28, 4, 0), 0)), ".", ","))</f>
        <v>50777428</v>
      </c>
      <c r="E421" s="230">
        <f ca="1">IF( ISNA( VLOOKUP( APIF_Import!$O421 &amp; APIF_Import!$E$1,Podesavanja!$AA$3:$AD$28, 4, 0)), "", VLOOKUP( APIF_Import!$C421, INDIRECT( "Lookup_" &amp; APIF_Import!$O421), VLOOKUP( APIF_Import!$O421 &amp; APIF_Import!$E$1,Podesavanja!$AA$3:$AD$28, 4, 0), 0))</f>
        <v>0</v>
      </c>
      <c r="F421" s="230">
        <f ca="1">IF( ISNA( VLOOKUP( APIF_Import!$O421 &amp; APIF_Import!$F$1,Podesavanja!$AA$3:$AD$28, 4, 0)), "", VLOOKUP( APIF_Import!$C421, INDIRECT( "Lookup_" &amp; APIF_Import!$O421), VLOOKUP( APIF_Import!$O421 &amp; APIF_Import!$F$1,Podesavanja!$AA$3:$AD$28, 4, 0), 0))</f>
        <v>20971</v>
      </c>
      <c r="G421" s="230">
        <f ca="1">IF( ISNA( VLOOKUP( APIF_Import!$O421 &amp; APIF_Import!$G$1,Podesavanja!$AA$3:$AD$28, 4, 0)), "", VLOOKUP( APIF_Import!$C421, INDIRECT( "Lookup_" &amp; APIF_Import!$O421), VLOOKUP( APIF_Import!$O421 &amp; APIF_Import!$G$1,Podesavanja!$AA$3:$AD$28, 4, 0), 0))</f>
        <v>0</v>
      </c>
      <c r="H421" s="230">
        <f ca="1">IF( ISNA( VLOOKUP( APIF_Import!$O421 &amp; APIF_Import!$H$1,Podesavanja!$AA$3:$AD$28, 4, 0)), "", VLOOKUP( APIF_Import!$C421, INDIRECT( "Lookup_" &amp; APIF_Import!$O421), VLOOKUP( APIF_Import!$O421 &amp; APIF_Import!$H$1,Podesavanja!$AA$3:$AD$28, 4, 0), 0))</f>
        <v>0</v>
      </c>
      <c r="I421" s="230">
        <f ca="1">IF( ISNA( VLOOKUP( APIF_Import!$O421 &amp; APIF_Import!$I$1,Podesavanja!$AA$3:$AD$28, 4, 0)), "", VLOOKUP( APIF_Import!$C421, INDIRECT( "Lookup_" &amp; APIF_Import!$O421), VLOOKUP( APIF_Import!$O421 &amp; APIF_Import!$I$1,Podesavanja!$AA$3:$AD$28, 4, 0), 0))</f>
        <v>15495786</v>
      </c>
      <c r="J421" s="230">
        <f ca="1">IF( ISNA( VLOOKUP( APIF_Import!$O421 &amp; APIF_Import!$J$1,Podesavanja!$AA$3:$AD$28, 4, 0)), "", VLOOKUP( APIF_Import!$C421, INDIRECT( "Lookup_" &amp; APIF_Import!$O421), VLOOKUP( APIF_Import!$O421 &amp; APIF_Import!$J$1,Podesavanja!$AA$3:$AD$28, 4, 0), 0))</f>
        <v>19107814</v>
      </c>
      <c r="K421" s="230">
        <f ca="1">IF( ISNA( VLOOKUP( APIF_Import!$O421 &amp; APIF_Import!$K$1,Podesavanja!$AA$3:$AD$28, 4, 0)), "", VLOOKUP( APIF_Import!$C421, INDIRECT( "Lookup_" &amp; APIF_Import!$O421), VLOOKUP( APIF_Import!$O421 &amp; APIF_Import!$K$1,Podesavanja!$AA$3:$AD$28, 4, 0), 0))</f>
        <v>85401999</v>
      </c>
      <c r="L421" s="230">
        <f ca="1">IF( ISNA( VLOOKUP( APIF_Import!$O421 &amp; APIF_Import!$L$1,Podesavanja!$AA$3:$AD$28, 4, 0)), "", VLOOKUP( APIF_Import!$C421, INDIRECT( "Lookup_" &amp; APIF_Import!$O421), VLOOKUP( APIF_Import!$O421 &amp; APIF_Import!$L$1,Podesavanja!$AA$3:$AD$28, 4, 0), 0))</f>
        <v>0</v>
      </c>
      <c r="M421" s="230">
        <f ca="1">IF( ISNA( VLOOKUP( APIF_Import!$O421 &amp; APIF_Import!$M$1,Podesavanja!$AA$3:$AD$28, 4, 0)), "", VLOOKUP( APIF_Import!$C421, INDIRECT( "Lookup_" &amp; APIF_Import!$O421), VLOOKUP( APIF_Import!$O421 &amp; APIF_Import!$M$1,Podesavanja!$AA$3:$AD$28, 4, 0), 0))</f>
        <v>85401999</v>
      </c>
      <c r="N421" s="8">
        <v>423</v>
      </c>
      <c r="O421" s="253" t="s">
        <v>1539</v>
      </c>
    </row>
    <row r="422" spans="2:15">
      <c r="B422" s="44">
        <f ca="1">VLOOKUP( APIF_Import!$O422, Podesavanja!$N$3:$Q$9, 4, 0)</f>
        <v>6</v>
      </c>
      <c r="C422" s="229">
        <f ca="1">VLOOKUP( APIF_Import!$N422, Aop!$A$2:$P$456, 4, 0)</f>
        <v>902</v>
      </c>
      <c r="D422" s="230" t="str">
        <f ca="1">IF( ISNA( VLOOKUP( APIF_Import!$O422 &amp; APIF_Import!$D$1,Podesavanja!$AA$3:$AD$28, 4, 0)), "", SUBSTITUTE( VALUE( VLOOKUP( APIF_Import!$C422, INDIRECT( "Lookup_" &amp; APIF_Import!$O422), VLOOKUP( APIF_Import!$O422 &amp; APIF_Import!$D$1,Podesavanja!$AA$3:$AD$28, 4, 0), 0)), ".", ","))</f>
        <v>0</v>
      </c>
      <c r="E422" s="230">
        <f ca="1">IF( ISNA( VLOOKUP( APIF_Import!$O422 &amp; APIF_Import!$E$1,Podesavanja!$AA$3:$AD$28, 4, 0)), "", VLOOKUP( APIF_Import!$C422, INDIRECT( "Lookup_" &amp; APIF_Import!$O422), VLOOKUP( APIF_Import!$O422 &amp; APIF_Import!$E$1,Podesavanja!$AA$3:$AD$28, 4, 0), 0))</f>
        <v>0</v>
      </c>
      <c r="F422" s="230">
        <f ca="1">IF( ISNA( VLOOKUP( APIF_Import!$O422 &amp; APIF_Import!$F$1,Podesavanja!$AA$3:$AD$28, 4, 0)), "", VLOOKUP( APIF_Import!$C422, INDIRECT( "Lookup_" &amp; APIF_Import!$O422), VLOOKUP( APIF_Import!$O422 &amp; APIF_Import!$F$1,Podesavanja!$AA$3:$AD$28, 4, 0), 0))</f>
        <v>0</v>
      </c>
      <c r="G422" s="230">
        <f ca="1">IF( ISNA( VLOOKUP( APIF_Import!$O422 &amp; APIF_Import!$G$1,Podesavanja!$AA$3:$AD$28, 4, 0)), "", VLOOKUP( APIF_Import!$C422, INDIRECT( "Lookup_" &amp; APIF_Import!$O422), VLOOKUP( APIF_Import!$O422 &amp; APIF_Import!$G$1,Podesavanja!$AA$3:$AD$28, 4, 0), 0))</f>
        <v>0</v>
      </c>
      <c r="H422" s="230">
        <f ca="1">IF( ISNA( VLOOKUP( APIF_Import!$O422 &amp; APIF_Import!$H$1,Podesavanja!$AA$3:$AD$28, 4, 0)), "", VLOOKUP( APIF_Import!$C422, INDIRECT( "Lookup_" &amp; APIF_Import!$O422), VLOOKUP( APIF_Import!$O422 &amp; APIF_Import!$H$1,Podesavanja!$AA$3:$AD$28, 4, 0), 0))</f>
        <v>0</v>
      </c>
      <c r="I422" s="230">
        <f ca="1">IF( ISNA( VLOOKUP( APIF_Import!$O422 &amp; APIF_Import!$I$1,Podesavanja!$AA$3:$AD$28, 4, 0)), "", VLOOKUP( APIF_Import!$C422, INDIRECT( "Lookup_" &amp; APIF_Import!$O422), VLOOKUP( APIF_Import!$O422 &amp; APIF_Import!$I$1,Podesavanja!$AA$3:$AD$28, 4, 0), 0))</f>
        <v>0</v>
      </c>
      <c r="J422" s="230">
        <f ca="1">IF( ISNA( VLOOKUP( APIF_Import!$O422 &amp; APIF_Import!$J$1,Podesavanja!$AA$3:$AD$28, 4, 0)), "", VLOOKUP( APIF_Import!$C422, INDIRECT( "Lookup_" &amp; APIF_Import!$O422), VLOOKUP( APIF_Import!$O422 &amp; APIF_Import!$J$1,Podesavanja!$AA$3:$AD$28, 4, 0), 0))</f>
        <v>0</v>
      </c>
      <c r="K422" s="230">
        <f ca="1">IF( ISNA( VLOOKUP( APIF_Import!$O422 &amp; APIF_Import!$K$1,Podesavanja!$AA$3:$AD$28, 4, 0)), "", VLOOKUP( APIF_Import!$C422, INDIRECT( "Lookup_" &amp; APIF_Import!$O422), VLOOKUP( APIF_Import!$O422 &amp; APIF_Import!$K$1,Podesavanja!$AA$3:$AD$28, 4, 0), 0))</f>
        <v>0</v>
      </c>
      <c r="L422" s="230">
        <f ca="1">IF( ISNA( VLOOKUP( APIF_Import!$O422 &amp; APIF_Import!$L$1,Podesavanja!$AA$3:$AD$28, 4, 0)), "", VLOOKUP( APIF_Import!$C422, INDIRECT( "Lookup_" &amp; APIF_Import!$O422), VLOOKUP( APIF_Import!$O422 &amp; APIF_Import!$L$1,Podesavanja!$AA$3:$AD$28, 4, 0), 0))</f>
        <v>0</v>
      </c>
      <c r="M422" s="230">
        <f ca="1">IF( ISNA( VLOOKUP( APIF_Import!$O422 &amp; APIF_Import!$M$1,Podesavanja!$AA$3:$AD$28, 4, 0)), "", VLOOKUP( APIF_Import!$C422, INDIRECT( "Lookup_" &amp; APIF_Import!$O422), VLOOKUP( APIF_Import!$O422 &amp; APIF_Import!$M$1,Podesavanja!$AA$3:$AD$28, 4, 0), 0))</f>
        <v>0</v>
      </c>
      <c r="N422" s="8">
        <v>425</v>
      </c>
      <c r="O422" s="253" t="s">
        <v>1539</v>
      </c>
    </row>
    <row r="423" spans="2:15">
      <c r="B423" s="44">
        <f ca="1">VLOOKUP( APIF_Import!$O423, Podesavanja!$N$3:$Q$9, 4, 0)</f>
        <v>6</v>
      </c>
      <c r="C423" s="229">
        <f ca="1">VLOOKUP( APIF_Import!$N423, Aop!$A$2:$P$456, 4, 0)</f>
        <v>903</v>
      </c>
      <c r="D423" s="230" t="str">
        <f ca="1">IF( ISNA( VLOOKUP( APIF_Import!$O423 &amp; APIF_Import!$D$1,Podesavanja!$AA$3:$AD$28, 4, 0)), "", SUBSTITUTE( VALUE( VLOOKUP( APIF_Import!$C423, INDIRECT( "Lookup_" &amp; APIF_Import!$O423), VLOOKUP( APIF_Import!$O423 &amp; APIF_Import!$D$1,Podesavanja!$AA$3:$AD$28, 4, 0), 0)), ".", ","))</f>
        <v>0</v>
      </c>
      <c r="E423" s="230">
        <f ca="1">IF( ISNA( VLOOKUP( APIF_Import!$O423 &amp; APIF_Import!$E$1,Podesavanja!$AA$3:$AD$28, 4, 0)), "", VLOOKUP( APIF_Import!$C423, INDIRECT( "Lookup_" &amp; APIF_Import!$O423), VLOOKUP( APIF_Import!$O423 &amp; APIF_Import!$E$1,Podesavanja!$AA$3:$AD$28, 4, 0), 0))</f>
        <v>0</v>
      </c>
      <c r="F423" s="230">
        <f ca="1">IF( ISNA( VLOOKUP( APIF_Import!$O423 &amp; APIF_Import!$F$1,Podesavanja!$AA$3:$AD$28, 4, 0)), "", VLOOKUP( APIF_Import!$C423, INDIRECT( "Lookup_" &amp; APIF_Import!$O423), VLOOKUP( APIF_Import!$O423 &amp; APIF_Import!$F$1,Podesavanja!$AA$3:$AD$28, 4, 0), 0))</f>
        <v>0</v>
      </c>
      <c r="G423" s="230">
        <f ca="1">IF( ISNA( VLOOKUP( APIF_Import!$O423 &amp; APIF_Import!$G$1,Podesavanja!$AA$3:$AD$28, 4, 0)), "", VLOOKUP( APIF_Import!$C423, INDIRECT( "Lookup_" &amp; APIF_Import!$O423), VLOOKUP( APIF_Import!$O423 &amp; APIF_Import!$G$1,Podesavanja!$AA$3:$AD$28, 4, 0), 0))</f>
        <v>0</v>
      </c>
      <c r="H423" s="230">
        <f ca="1">IF( ISNA( VLOOKUP( APIF_Import!$O423 &amp; APIF_Import!$H$1,Podesavanja!$AA$3:$AD$28, 4, 0)), "", VLOOKUP( APIF_Import!$C423, INDIRECT( "Lookup_" &amp; APIF_Import!$O423), VLOOKUP( APIF_Import!$O423 &amp; APIF_Import!$H$1,Podesavanja!$AA$3:$AD$28, 4, 0), 0))</f>
        <v>0</v>
      </c>
      <c r="I423" s="230">
        <f ca="1">IF( ISNA( VLOOKUP( APIF_Import!$O423 &amp; APIF_Import!$I$1,Podesavanja!$AA$3:$AD$28, 4, 0)), "", VLOOKUP( APIF_Import!$C423, INDIRECT( "Lookup_" &amp; APIF_Import!$O423), VLOOKUP( APIF_Import!$O423 &amp; APIF_Import!$I$1,Podesavanja!$AA$3:$AD$28, 4, 0), 0))</f>
        <v>0</v>
      </c>
      <c r="J423" s="230">
        <f ca="1">IF( ISNA( VLOOKUP( APIF_Import!$O423 &amp; APIF_Import!$J$1,Podesavanja!$AA$3:$AD$28, 4, 0)), "", VLOOKUP( APIF_Import!$C423, INDIRECT( "Lookup_" &amp; APIF_Import!$O423), VLOOKUP( APIF_Import!$O423 &amp; APIF_Import!$J$1,Podesavanja!$AA$3:$AD$28, 4, 0), 0))</f>
        <v>0</v>
      </c>
      <c r="K423" s="230">
        <f ca="1">IF( ISNA( VLOOKUP( APIF_Import!$O423 &amp; APIF_Import!$K$1,Podesavanja!$AA$3:$AD$28, 4, 0)), "", VLOOKUP( APIF_Import!$C423, INDIRECT( "Lookup_" &amp; APIF_Import!$O423), VLOOKUP( APIF_Import!$O423 &amp; APIF_Import!$K$1,Podesavanja!$AA$3:$AD$28, 4, 0), 0))</f>
        <v>0</v>
      </c>
      <c r="L423" s="230">
        <f ca="1">IF( ISNA( VLOOKUP( APIF_Import!$O423 &amp; APIF_Import!$L$1,Podesavanja!$AA$3:$AD$28, 4, 0)), "", VLOOKUP( APIF_Import!$C423, INDIRECT( "Lookup_" &amp; APIF_Import!$O423), VLOOKUP( APIF_Import!$O423 &amp; APIF_Import!$L$1,Podesavanja!$AA$3:$AD$28, 4, 0), 0))</f>
        <v>0</v>
      </c>
      <c r="M423" s="230">
        <f ca="1">IF( ISNA( VLOOKUP( APIF_Import!$O423 &amp; APIF_Import!$M$1,Podesavanja!$AA$3:$AD$28, 4, 0)), "", VLOOKUP( APIF_Import!$C423, INDIRECT( "Lookup_" &amp; APIF_Import!$O423), VLOOKUP( APIF_Import!$O423 &amp; APIF_Import!$M$1,Podesavanja!$AA$3:$AD$28, 4, 0), 0))</f>
        <v>0</v>
      </c>
      <c r="N423" s="8">
        <v>426</v>
      </c>
      <c r="O423" s="253" t="s">
        <v>1539</v>
      </c>
    </row>
    <row r="424" spans="2:15">
      <c r="B424" s="44">
        <f ca="1">VLOOKUP( APIF_Import!$O424, Podesavanja!$N$3:$Q$9, 4, 0)</f>
        <v>6</v>
      </c>
      <c r="C424" s="229">
        <f ca="1">VLOOKUP( APIF_Import!$N424, Aop!$A$2:$P$456, 4, 0)</f>
        <v>904</v>
      </c>
      <c r="D424" s="230" t="str">
        <f ca="1">IF( ISNA( VLOOKUP( APIF_Import!$O424 &amp; APIF_Import!$D$1,Podesavanja!$AA$3:$AD$28, 4, 0)), "", SUBSTITUTE( VALUE( VLOOKUP( APIF_Import!$C424, INDIRECT( "Lookup_" &amp; APIF_Import!$O424), VLOOKUP( APIF_Import!$O424 &amp; APIF_Import!$D$1,Podesavanja!$AA$3:$AD$28, 4, 0), 0)), ".", ","))</f>
        <v>50777428</v>
      </c>
      <c r="E424" s="230">
        <f ca="1">IF( ISNA( VLOOKUP( APIF_Import!$O424 &amp; APIF_Import!$E$1,Podesavanja!$AA$3:$AD$28, 4, 0)), "", VLOOKUP( APIF_Import!$C424, INDIRECT( "Lookup_" &amp; APIF_Import!$O424), VLOOKUP( APIF_Import!$O424 &amp; APIF_Import!$E$1,Podesavanja!$AA$3:$AD$28, 4, 0), 0))</f>
        <v>0</v>
      </c>
      <c r="F424" s="230">
        <f ca="1">IF( ISNA( VLOOKUP( APIF_Import!$O424 &amp; APIF_Import!$F$1,Podesavanja!$AA$3:$AD$28, 4, 0)), "", VLOOKUP( APIF_Import!$C424, INDIRECT( "Lookup_" &amp; APIF_Import!$O424), VLOOKUP( APIF_Import!$O424 &amp; APIF_Import!$F$1,Podesavanja!$AA$3:$AD$28, 4, 0), 0))</f>
        <v>20971</v>
      </c>
      <c r="G424" s="230">
        <f ca="1">IF( ISNA( VLOOKUP( APIF_Import!$O424 &amp; APIF_Import!$G$1,Podesavanja!$AA$3:$AD$28, 4, 0)), "", VLOOKUP( APIF_Import!$C424, INDIRECT( "Lookup_" &amp; APIF_Import!$O424), VLOOKUP( APIF_Import!$O424 &amp; APIF_Import!$G$1,Podesavanja!$AA$3:$AD$28, 4, 0), 0))</f>
        <v>0</v>
      </c>
      <c r="H424" s="230">
        <f ca="1">IF( ISNA( VLOOKUP( APIF_Import!$O424 &amp; APIF_Import!$H$1,Podesavanja!$AA$3:$AD$28, 4, 0)), "", VLOOKUP( APIF_Import!$C424, INDIRECT( "Lookup_" &amp; APIF_Import!$O424), VLOOKUP( APIF_Import!$O424 &amp; APIF_Import!$H$1,Podesavanja!$AA$3:$AD$28, 4, 0), 0))</f>
        <v>0</v>
      </c>
      <c r="I424" s="230">
        <f ca="1">IF( ISNA( VLOOKUP( APIF_Import!$O424 &amp; APIF_Import!$I$1,Podesavanja!$AA$3:$AD$28, 4, 0)), "", VLOOKUP( APIF_Import!$C424, INDIRECT( "Lookup_" &amp; APIF_Import!$O424), VLOOKUP( APIF_Import!$O424 &amp; APIF_Import!$I$1,Podesavanja!$AA$3:$AD$28, 4, 0), 0))</f>
        <v>15495786</v>
      </c>
      <c r="J424" s="230">
        <f ca="1">IF( ISNA( VLOOKUP( APIF_Import!$O424 &amp; APIF_Import!$J$1,Podesavanja!$AA$3:$AD$28, 4, 0)), "", VLOOKUP( APIF_Import!$C424, INDIRECT( "Lookup_" &amp; APIF_Import!$O424), VLOOKUP( APIF_Import!$O424 &amp; APIF_Import!$J$1,Podesavanja!$AA$3:$AD$28, 4, 0), 0))</f>
        <v>19107814</v>
      </c>
      <c r="K424" s="230">
        <f ca="1">IF( ISNA( VLOOKUP( APIF_Import!$O424 &amp; APIF_Import!$K$1,Podesavanja!$AA$3:$AD$28, 4, 0)), "", VLOOKUP( APIF_Import!$C424, INDIRECT( "Lookup_" &amp; APIF_Import!$O424), VLOOKUP( APIF_Import!$O424 &amp; APIF_Import!$K$1,Podesavanja!$AA$3:$AD$28, 4, 0), 0))</f>
        <v>85401999</v>
      </c>
      <c r="L424" s="230">
        <f ca="1">IF( ISNA( VLOOKUP( APIF_Import!$O424 &amp; APIF_Import!$L$1,Podesavanja!$AA$3:$AD$28, 4, 0)), "", VLOOKUP( APIF_Import!$C424, INDIRECT( "Lookup_" &amp; APIF_Import!$O424), VLOOKUP( APIF_Import!$O424 &amp; APIF_Import!$L$1,Podesavanja!$AA$3:$AD$28, 4, 0), 0))</f>
        <v>0</v>
      </c>
      <c r="M424" s="230">
        <f ca="1">IF( ISNA( VLOOKUP( APIF_Import!$O424 &amp; APIF_Import!$M$1,Podesavanja!$AA$3:$AD$28, 4, 0)), "", VLOOKUP( APIF_Import!$C424, INDIRECT( "Lookup_" &amp; APIF_Import!$O424), VLOOKUP( APIF_Import!$O424 &amp; APIF_Import!$M$1,Podesavanja!$AA$3:$AD$28, 4, 0), 0))</f>
        <v>85401999</v>
      </c>
      <c r="N424" s="8">
        <v>427</v>
      </c>
      <c r="O424" s="253" t="s">
        <v>1539</v>
      </c>
    </row>
    <row r="425" spans="2:15">
      <c r="B425" s="44">
        <f ca="1">VLOOKUP( APIF_Import!$O425, Podesavanja!$N$3:$Q$9, 4, 0)</f>
        <v>6</v>
      </c>
      <c r="C425" s="229">
        <f ca="1">VLOOKUP( APIF_Import!$N425, Aop!$A$2:$P$456, 4, 0)</f>
        <v>905</v>
      </c>
      <c r="D425" s="230" t="str">
        <f ca="1">IF( ISNA( VLOOKUP( APIF_Import!$O425 &amp; APIF_Import!$D$1,Podesavanja!$AA$3:$AD$28, 4, 0)), "", SUBSTITUTE( VALUE( VLOOKUP( APIF_Import!$C425, INDIRECT( "Lookup_" &amp; APIF_Import!$O425), VLOOKUP( APIF_Import!$O425 &amp; APIF_Import!$D$1,Podesavanja!$AA$3:$AD$28, 4, 0), 0)), ".", ","))</f>
        <v>0</v>
      </c>
      <c r="E425" s="230">
        <f ca="1">IF( ISNA( VLOOKUP( APIF_Import!$O425 &amp; APIF_Import!$E$1,Podesavanja!$AA$3:$AD$28, 4, 0)), "", VLOOKUP( APIF_Import!$C425, INDIRECT( "Lookup_" &amp; APIF_Import!$O425), VLOOKUP( APIF_Import!$O425 &amp; APIF_Import!$E$1,Podesavanja!$AA$3:$AD$28, 4, 0), 0))</f>
        <v>0</v>
      </c>
      <c r="F425" s="230">
        <f ca="1">IF( ISNA( VLOOKUP( APIF_Import!$O425 &amp; APIF_Import!$F$1,Podesavanja!$AA$3:$AD$28, 4, 0)), "", VLOOKUP( APIF_Import!$C425, INDIRECT( "Lookup_" &amp; APIF_Import!$O425), VLOOKUP( APIF_Import!$O425 &amp; APIF_Import!$F$1,Podesavanja!$AA$3:$AD$28, 4, 0), 0))</f>
        <v>0</v>
      </c>
      <c r="G425" s="230">
        <f ca="1">IF( ISNA( VLOOKUP( APIF_Import!$O425 &amp; APIF_Import!$G$1,Podesavanja!$AA$3:$AD$28, 4, 0)), "", VLOOKUP( APIF_Import!$C425, INDIRECT( "Lookup_" &amp; APIF_Import!$O425), VLOOKUP( APIF_Import!$O425 &amp; APIF_Import!$G$1,Podesavanja!$AA$3:$AD$28, 4, 0), 0))</f>
        <v>0</v>
      </c>
      <c r="H425" s="230">
        <f ca="1">IF( ISNA( VLOOKUP( APIF_Import!$O425 &amp; APIF_Import!$H$1,Podesavanja!$AA$3:$AD$28, 4, 0)), "", VLOOKUP( APIF_Import!$C425, INDIRECT( "Lookup_" &amp; APIF_Import!$O425), VLOOKUP( APIF_Import!$O425 &amp; APIF_Import!$H$1,Podesavanja!$AA$3:$AD$28, 4, 0), 0))</f>
        <v>0</v>
      </c>
      <c r="I425" s="230">
        <f ca="1">IF( ISNA( VLOOKUP( APIF_Import!$O425 &amp; APIF_Import!$I$1,Podesavanja!$AA$3:$AD$28, 4, 0)), "", VLOOKUP( APIF_Import!$C425, INDIRECT( "Lookup_" &amp; APIF_Import!$O425), VLOOKUP( APIF_Import!$O425 &amp; APIF_Import!$I$1,Podesavanja!$AA$3:$AD$28, 4, 0), 0))</f>
        <v>0</v>
      </c>
      <c r="J425" s="230">
        <f ca="1">IF( ISNA( VLOOKUP( APIF_Import!$O425 &amp; APIF_Import!$J$1,Podesavanja!$AA$3:$AD$28, 4, 0)), "", VLOOKUP( APIF_Import!$C425, INDIRECT( "Lookup_" &amp; APIF_Import!$O425), VLOOKUP( APIF_Import!$O425 &amp; APIF_Import!$J$1,Podesavanja!$AA$3:$AD$28, 4, 0), 0))</f>
        <v>0</v>
      </c>
      <c r="K425" s="230">
        <f ca="1">IF( ISNA( VLOOKUP( APIF_Import!$O425 &amp; APIF_Import!$K$1,Podesavanja!$AA$3:$AD$28, 4, 0)), "", VLOOKUP( APIF_Import!$C425, INDIRECT( "Lookup_" &amp; APIF_Import!$O425), VLOOKUP( APIF_Import!$O425 &amp; APIF_Import!$K$1,Podesavanja!$AA$3:$AD$28, 4, 0), 0))</f>
        <v>0</v>
      </c>
      <c r="L425" s="230">
        <f ca="1">IF( ISNA( VLOOKUP( APIF_Import!$O425 &amp; APIF_Import!$L$1,Podesavanja!$AA$3:$AD$28, 4, 0)), "", VLOOKUP( APIF_Import!$C425, INDIRECT( "Lookup_" &amp; APIF_Import!$O425), VLOOKUP( APIF_Import!$O425 &amp; APIF_Import!$L$1,Podesavanja!$AA$3:$AD$28, 4, 0), 0))</f>
        <v>0</v>
      </c>
      <c r="M425" s="230">
        <f ca="1">IF( ISNA( VLOOKUP( APIF_Import!$O425 &amp; APIF_Import!$M$1,Podesavanja!$AA$3:$AD$28, 4, 0)), "", VLOOKUP( APIF_Import!$C425, INDIRECT( "Lookup_" &amp; APIF_Import!$O425), VLOOKUP( APIF_Import!$O425 &amp; APIF_Import!$M$1,Podesavanja!$AA$3:$AD$28, 4, 0), 0))</f>
        <v>0</v>
      </c>
      <c r="N425" s="8">
        <v>429</v>
      </c>
      <c r="O425" s="253" t="s">
        <v>1539</v>
      </c>
    </row>
    <row r="426" spans="2:15">
      <c r="B426" s="44">
        <f ca="1">VLOOKUP( APIF_Import!$O426, Podesavanja!$N$3:$Q$9, 4, 0)</f>
        <v>6</v>
      </c>
      <c r="C426" s="229">
        <f ca="1">VLOOKUP( APIF_Import!$N426, Aop!$A$2:$P$456, 4, 0)</f>
        <v>906</v>
      </c>
      <c r="D426" s="230" t="str">
        <f ca="1">IF( ISNA( VLOOKUP( APIF_Import!$O426 &amp; APIF_Import!$D$1,Podesavanja!$AA$3:$AD$28, 4, 0)), "", SUBSTITUTE( VALUE( VLOOKUP( APIF_Import!$C426, INDIRECT( "Lookup_" &amp; APIF_Import!$O426), VLOOKUP( APIF_Import!$O426 &amp; APIF_Import!$D$1,Podesavanja!$AA$3:$AD$28, 4, 0), 0)), ".", ","))</f>
        <v>0</v>
      </c>
      <c r="E426" s="230">
        <f ca="1">IF( ISNA( VLOOKUP( APIF_Import!$O426 &amp; APIF_Import!$E$1,Podesavanja!$AA$3:$AD$28, 4, 0)), "", VLOOKUP( APIF_Import!$C426, INDIRECT( "Lookup_" &amp; APIF_Import!$O426), VLOOKUP( APIF_Import!$O426 &amp; APIF_Import!$E$1,Podesavanja!$AA$3:$AD$28, 4, 0), 0))</f>
        <v>0</v>
      </c>
      <c r="F426" s="230">
        <f ca="1">IF( ISNA( VLOOKUP( APIF_Import!$O426 &amp; APIF_Import!$F$1,Podesavanja!$AA$3:$AD$28, 4, 0)), "", VLOOKUP( APIF_Import!$C426, INDIRECT( "Lookup_" &amp; APIF_Import!$O426), VLOOKUP( APIF_Import!$O426 &amp; APIF_Import!$F$1,Podesavanja!$AA$3:$AD$28, 4, 0), 0))</f>
        <v>0</v>
      </c>
      <c r="G426" s="230">
        <f ca="1">IF( ISNA( VLOOKUP( APIF_Import!$O426 &amp; APIF_Import!$G$1,Podesavanja!$AA$3:$AD$28, 4, 0)), "", VLOOKUP( APIF_Import!$C426, INDIRECT( "Lookup_" &amp; APIF_Import!$O426), VLOOKUP( APIF_Import!$O426 &amp; APIF_Import!$G$1,Podesavanja!$AA$3:$AD$28, 4, 0), 0))</f>
        <v>0</v>
      </c>
      <c r="H426" s="230">
        <f ca="1">IF( ISNA( VLOOKUP( APIF_Import!$O426 &amp; APIF_Import!$H$1,Podesavanja!$AA$3:$AD$28, 4, 0)), "", VLOOKUP( APIF_Import!$C426, INDIRECT( "Lookup_" &amp; APIF_Import!$O426), VLOOKUP( APIF_Import!$O426 &amp; APIF_Import!$H$1,Podesavanja!$AA$3:$AD$28, 4, 0), 0))</f>
        <v>0</v>
      </c>
      <c r="I426" s="230">
        <f ca="1">IF( ISNA( VLOOKUP( APIF_Import!$O426 &amp; APIF_Import!$I$1,Podesavanja!$AA$3:$AD$28, 4, 0)), "", VLOOKUP( APIF_Import!$C426, INDIRECT( "Lookup_" &amp; APIF_Import!$O426), VLOOKUP( APIF_Import!$O426 &amp; APIF_Import!$I$1,Podesavanja!$AA$3:$AD$28, 4, 0), 0))</f>
        <v>0</v>
      </c>
      <c r="J426" s="230">
        <f ca="1">IF( ISNA( VLOOKUP( APIF_Import!$O426 &amp; APIF_Import!$J$1,Podesavanja!$AA$3:$AD$28, 4, 0)), "", VLOOKUP( APIF_Import!$C426, INDIRECT( "Lookup_" &amp; APIF_Import!$O426), VLOOKUP( APIF_Import!$O426 &amp; APIF_Import!$J$1,Podesavanja!$AA$3:$AD$28, 4, 0), 0))</f>
        <v>0</v>
      </c>
      <c r="K426" s="230">
        <f ca="1">IF( ISNA( VLOOKUP( APIF_Import!$O426 &amp; APIF_Import!$K$1,Podesavanja!$AA$3:$AD$28, 4, 0)), "", VLOOKUP( APIF_Import!$C426, INDIRECT( "Lookup_" &amp; APIF_Import!$O426), VLOOKUP( APIF_Import!$O426 &amp; APIF_Import!$K$1,Podesavanja!$AA$3:$AD$28, 4, 0), 0))</f>
        <v>0</v>
      </c>
      <c r="L426" s="230">
        <f ca="1">IF( ISNA( VLOOKUP( APIF_Import!$O426 &amp; APIF_Import!$L$1,Podesavanja!$AA$3:$AD$28, 4, 0)), "", VLOOKUP( APIF_Import!$C426, INDIRECT( "Lookup_" &amp; APIF_Import!$O426), VLOOKUP( APIF_Import!$O426 &amp; APIF_Import!$L$1,Podesavanja!$AA$3:$AD$28, 4, 0), 0))</f>
        <v>0</v>
      </c>
      <c r="M426" s="230">
        <f ca="1">IF( ISNA( VLOOKUP( APIF_Import!$O426 &amp; APIF_Import!$M$1,Podesavanja!$AA$3:$AD$28, 4, 0)), "", VLOOKUP( APIF_Import!$C426, INDIRECT( "Lookup_" &amp; APIF_Import!$O426), VLOOKUP( APIF_Import!$O426 &amp; APIF_Import!$M$1,Podesavanja!$AA$3:$AD$28, 4, 0), 0))</f>
        <v>0</v>
      </c>
      <c r="N426" s="8">
        <v>430</v>
      </c>
      <c r="O426" s="253" t="s">
        <v>1539</v>
      </c>
    </row>
    <row r="427" spans="2:15">
      <c r="B427" s="44">
        <f ca="1">VLOOKUP( APIF_Import!$O427, Podesavanja!$N$3:$Q$9, 4, 0)</f>
        <v>6</v>
      </c>
      <c r="C427" s="229">
        <f ca="1">VLOOKUP( APIF_Import!$N427, Aop!$A$2:$P$456, 4, 0)</f>
        <v>907</v>
      </c>
      <c r="D427" s="230" t="str">
        <f ca="1">IF( ISNA( VLOOKUP( APIF_Import!$O427 &amp; APIF_Import!$D$1,Podesavanja!$AA$3:$AD$28, 4, 0)), "", SUBSTITUTE( VALUE( VLOOKUP( APIF_Import!$C427, INDIRECT( "Lookup_" &amp; APIF_Import!$O427), VLOOKUP( APIF_Import!$O427 &amp; APIF_Import!$D$1,Podesavanja!$AA$3:$AD$28, 4, 0), 0)), ".", ","))</f>
        <v>0</v>
      </c>
      <c r="E427" s="230">
        <f ca="1">IF( ISNA( VLOOKUP( APIF_Import!$O427 &amp; APIF_Import!$E$1,Podesavanja!$AA$3:$AD$28, 4, 0)), "", VLOOKUP( APIF_Import!$C427, INDIRECT( "Lookup_" &amp; APIF_Import!$O427), VLOOKUP( APIF_Import!$O427 &amp; APIF_Import!$E$1,Podesavanja!$AA$3:$AD$28, 4, 0), 0))</f>
        <v>0</v>
      </c>
      <c r="F427" s="230">
        <f ca="1">IF( ISNA( VLOOKUP( APIF_Import!$O427 &amp; APIF_Import!$F$1,Podesavanja!$AA$3:$AD$28, 4, 0)), "", VLOOKUP( APIF_Import!$C427, INDIRECT( "Lookup_" &amp; APIF_Import!$O427), VLOOKUP( APIF_Import!$O427 &amp; APIF_Import!$F$1,Podesavanja!$AA$3:$AD$28, 4, 0), 0))</f>
        <v>0</v>
      </c>
      <c r="G427" s="230">
        <f ca="1">IF( ISNA( VLOOKUP( APIF_Import!$O427 &amp; APIF_Import!$G$1,Podesavanja!$AA$3:$AD$28, 4, 0)), "", VLOOKUP( APIF_Import!$C427, INDIRECT( "Lookup_" &amp; APIF_Import!$O427), VLOOKUP( APIF_Import!$O427 &amp; APIF_Import!$G$1,Podesavanja!$AA$3:$AD$28, 4, 0), 0))</f>
        <v>0</v>
      </c>
      <c r="H427" s="230">
        <f ca="1">IF( ISNA( VLOOKUP( APIF_Import!$O427 &amp; APIF_Import!$H$1,Podesavanja!$AA$3:$AD$28, 4, 0)), "", VLOOKUP( APIF_Import!$C427, INDIRECT( "Lookup_" &amp; APIF_Import!$O427), VLOOKUP( APIF_Import!$O427 &amp; APIF_Import!$H$1,Podesavanja!$AA$3:$AD$28, 4, 0), 0))</f>
        <v>0</v>
      </c>
      <c r="I427" s="230">
        <f ca="1">IF( ISNA( VLOOKUP( APIF_Import!$O427 &amp; APIF_Import!$I$1,Podesavanja!$AA$3:$AD$28, 4, 0)), "", VLOOKUP( APIF_Import!$C427, INDIRECT( "Lookup_" &amp; APIF_Import!$O427), VLOOKUP( APIF_Import!$O427 &amp; APIF_Import!$I$1,Podesavanja!$AA$3:$AD$28, 4, 0), 0))</f>
        <v>0</v>
      </c>
      <c r="J427" s="230">
        <f ca="1">IF( ISNA( VLOOKUP( APIF_Import!$O427 &amp; APIF_Import!$J$1,Podesavanja!$AA$3:$AD$28, 4, 0)), "", VLOOKUP( APIF_Import!$C427, INDIRECT( "Lookup_" &amp; APIF_Import!$O427), VLOOKUP( APIF_Import!$O427 &amp; APIF_Import!$J$1,Podesavanja!$AA$3:$AD$28, 4, 0), 0))</f>
        <v>0</v>
      </c>
      <c r="K427" s="230">
        <f ca="1">IF( ISNA( VLOOKUP( APIF_Import!$O427 &amp; APIF_Import!$K$1,Podesavanja!$AA$3:$AD$28, 4, 0)), "", VLOOKUP( APIF_Import!$C427, INDIRECT( "Lookup_" &amp; APIF_Import!$O427), VLOOKUP( APIF_Import!$O427 &amp; APIF_Import!$K$1,Podesavanja!$AA$3:$AD$28, 4, 0), 0))</f>
        <v>0</v>
      </c>
      <c r="L427" s="230">
        <f ca="1">IF( ISNA( VLOOKUP( APIF_Import!$O427 &amp; APIF_Import!$L$1,Podesavanja!$AA$3:$AD$28, 4, 0)), "", VLOOKUP( APIF_Import!$C427, INDIRECT( "Lookup_" &amp; APIF_Import!$O427), VLOOKUP( APIF_Import!$O427 &amp; APIF_Import!$L$1,Podesavanja!$AA$3:$AD$28, 4, 0), 0))</f>
        <v>0</v>
      </c>
      <c r="M427" s="230">
        <f ca="1">IF( ISNA( VLOOKUP( APIF_Import!$O427 &amp; APIF_Import!$M$1,Podesavanja!$AA$3:$AD$28, 4, 0)), "", VLOOKUP( APIF_Import!$C427, INDIRECT( "Lookup_" &amp; APIF_Import!$O427), VLOOKUP( APIF_Import!$O427 &amp; APIF_Import!$M$1,Podesavanja!$AA$3:$AD$28, 4, 0), 0))</f>
        <v>0</v>
      </c>
      <c r="N427" s="8">
        <v>431</v>
      </c>
      <c r="O427" s="253" t="s">
        <v>1539</v>
      </c>
    </row>
    <row r="428" spans="2:15">
      <c r="B428" s="44">
        <f ca="1">VLOOKUP( APIF_Import!$O428, Podesavanja!$N$3:$Q$9, 4, 0)</f>
        <v>6</v>
      </c>
      <c r="C428" s="229">
        <f ca="1">VLOOKUP( APIF_Import!$N428, Aop!$A$2:$P$456, 4, 0)</f>
        <v>908</v>
      </c>
      <c r="D428" s="230" t="str">
        <f ca="1">IF( ISNA( VLOOKUP( APIF_Import!$O428 &amp; APIF_Import!$D$1,Podesavanja!$AA$3:$AD$28, 4, 0)), "", SUBSTITUTE( VALUE( VLOOKUP( APIF_Import!$C428, INDIRECT( "Lookup_" &amp; APIF_Import!$O428), VLOOKUP( APIF_Import!$O428 &amp; APIF_Import!$D$1,Podesavanja!$AA$3:$AD$28, 4, 0), 0)), ".", ","))</f>
        <v>0</v>
      </c>
      <c r="E428" s="230">
        <f ca="1">IF( ISNA( VLOOKUP( APIF_Import!$O428 &amp; APIF_Import!$E$1,Podesavanja!$AA$3:$AD$28, 4, 0)), "", VLOOKUP( APIF_Import!$C428, INDIRECT( "Lookup_" &amp; APIF_Import!$O428), VLOOKUP( APIF_Import!$O428 &amp; APIF_Import!$E$1,Podesavanja!$AA$3:$AD$28, 4, 0), 0))</f>
        <v>0</v>
      </c>
      <c r="F428" s="230">
        <f ca="1">IF( ISNA( VLOOKUP( APIF_Import!$O428 &amp; APIF_Import!$F$1,Podesavanja!$AA$3:$AD$28, 4, 0)), "", VLOOKUP( APIF_Import!$C428, INDIRECT( "Lookup_" &amp; APIF_Import!$O428), VLOOKUP( APIF_Import!$O428 &amp; APIF_Import!$F$1,Podesavanja!$AA$3:$AD$28, 4, 0), 0))</f>
        <v>0</v>
      </c>
      <c r="G428" s="230">
        <f ca="1">IF( ISNA( VLOOKUP( APIF_Import!$O428 &amp; APIF_Import!$G$1,Podesavanja!$AA$3:$AD$28, 4, 0)), "", VLOOKUP( APIF_Import!$C428, INDIRECT( "Lookup_" &amp; APIF_Import!$O428), VLOOKUP( APIF_Import!$O428 &amp; APIF_Import!$G$1,Podesavanja!$AA$3:$AD$28, 4, 0), 0))</f>
        <v>0</v>
      </c>
      <c r="H428" s="230">
        <f ca="1">IF( ISNA( VLOOKUP( APIF_Import!$O428 &amp; APIF_Import!$H$1,Podesavanja!$AA$3:$AD$28, 4, 0)), "", VLOOKUP( APIF_Import!$C428, INDIRECT( "Lookup_" &amp; APIF_Import!$O428), VLOOKUP( APIF_Import!$O428 &amp; APIF_Import!$H$1,Podesavanja!$AA$3:$AD$28, 4, 0), 0))</f>
        <v>0</v>
      </c>
      <c r="I428" s="230">
        <f ca="1">IF( ISNA( VLOOKUP( APIF_Import!$O428 &amp; APIF_Import!$I$1,Podesavanja!$AA$3:$AD$28, 4, 0)), "", VLOOKUP( APIF_Import!$C428, INDIRECT( "Lookup_" &amp; APIF_Import!$O428), VLOOKUP( APIF_Import!$O428 &amp; APIF_Import!$I$1,Podesavanja!$AA$3:$AD$28, 4, 0), 0))</f>
        <v>0</v>
      </c>
      <c r="J428" s="230">
        <f ca="1">IF( ISNA( VLOOKUP( APIF_Import!$O428 &amp; APIF_Import!$J$1,Podesavanja!$AA$3:$AD$28, 4, 0)), "", VLOOKUP( APIF_Import!$C428, INDIRECT( "Lookup_" &amp; APIF_Import!$O428), VLOOKUP( APIF_Import!$O428 &amp; APIF_Import!$J$1,Podesavanja!$AA$3:$AD$28, 4, 0), 0))</f>
        <v>0</v>
      </c>
      <c r="K428" s="230">
        <f ca="1">IF( ISNA( VLOOKUP( APIF_Import!$O428 &amp; APIF_Import!$K$1,Podesavanja!$AA$3:$AD$28, 4, 0)), "", VLOOKUP( APIF_Import!$C428, INDIRECT( "Lookup_" &amp; APIF_Import!$O428), VLOOKUP( APIF_Import!$O428 &amp; APIF_Import!$K$1,Podesavanja!$AA$3:$AD$28, 4, 0), 0))</f>
        <v>0</v>
      </c>
      <c r="L428" s="230">
        <f ca="1">IF( ISNA( VLOOKUP( APIF_Import!$O428 &amp; APIF_Import!$L$1,Podesavanja!$AA$3:$AD$28, 4, 0)), "", VLOOKUP( APIF_Import!$C428, INDIRECT( "Lookup_" &amp; APIF_Import!$O428), VLOOKUP( APIF_Import!$O428 &amp; APIF_Import!$L$1,Podesavanja!$AA$3:$AD$28, 4, 0), 0))</f>
        <v>0</v>
      </c>
      <c r="M428" s="230">
        <f ca="1">IF( ISNA( VLOOKUP( APIF_Import!$O428 &amp; APIF_Import!$M$1,Podesavanja!$AA$3:$AD$28, 4, 0)), "", VLOOKUP( APIF_Import!$C428, INDIRECT( "Lookup_" &amp; APIF_Import!$O428), VLOOKUP( APIF_Import!$O428 &amp; APIF_Import!$M$1,Podesavanja!$AA$3:$AD$28, 4, 0), 0))</f>
        <v>0</v>
      </c>
      <c r="N428" s="8">
        <v>433</v>
      </c>
      <c r="O428" s="253" t="s">
        <v>1539</v>
      </c>
    </row>
    <row r="429" spans="2:15">
      <c r="B429" s="44">
        <f ca="1">VLOOKUP( APIF_Import!$O429, Podesavanja!$N$3:$Q$9, 4, 0)</f>
        <v>6</v>
      </c>
      <c r="C429" s="229">
        <f ca="1">VLOOKUP( APIF_Import!$N429, Aop!$A$2:$P$456, 4, 0)</f>
        <v>909</v>
      </c>
      <c r="D429" s="230" t="str">
        <f ca="1">IF( ISNA( VLOOKUP( APIF_Import!$O429 &amp; APIF_Import!$D$1,Podesavanja!$AA$3:$AD$28, 4, 0)), "", SUBSTITUTE( VALUE( VLOOKUP( APIF_Import!$C429, INDIRECT( "Lookup_" &amp; APIF_Import!$O429), VLOOKUP( APIF_Import!$O429 &amp; APIF_Import!$D$1,Podesavanja!$AA$3:$AD$28, 4, 0), 0)), ".", ","))</f>
        <v>0</v>
      </c>
      <c r="E429" s="230">
        <f ca="1">IF( ISNA( VLOOKUP( APIF_Import!$O429 &amp; APIF_Import!$E$1,Podesavanja!$AA$3:$AD$28, 4, 0)), "", VLOOKUP( APIF_Import!$C429, INDIRECT( "Lookup_" &amp; APIF_Import!$O429), VLOOKUP( APIF_Import!$O429 &amp; APIF_Import!$E$1,Podesavanja!$AA$3:$AD$28, 4, 0), 0))</f>
        <v>0</v>
      </c>
      <c r="F429" s="230">
        <f ca="1">IF( ISNA( VLOOKUP( APIF_Import!$O429 &amp; APIF_Import!$F$1,Podesavanja!$AA$3:$AD$28, 4, 0)), "", VLOOKUP( APIF_Import!$C429, INDIRECT( "Lookup_" &amp; APIF_Import!$O429), VLOOKUP( APIF_Import!$O429 &amp; APIF_Import!$F$1,Podesavanja!$AA$3:$AD$28, 4, 0), 0))</f>
        <v>0</v>
      </c>
      <c r="G429" s="230">
        <f ca="1">IF( ISNA( VLOOKUP( APIF_Import!$O429 &amp; APIF_Import!$G$1,Podesavanja!$AA$3:$AD$28, 4, 0)), "", VLOOKUP( APIF_Import!$C429, INDIRECT( "Lookup_" &amp; APIF_Import!$O429), VLOOKUP( APIF_Import!$O429 &amp; APIF_Import!$G$1,Podesavanja!$AA$3:$AD$28, 4, 0), 0))</f>
        <v>0</v>
      </c>
      <c r="H429" s="230">
        <f ca="1">IF( ISNA( VLOOKUP( APIF_Import!$O429 &amp; APIF_Import!$H$1,Podesavanja!$AA$3:$AD$28, 4, 0)), "", VLOOKUP( APIF_Import!$C429, INDIRECT( "Lookup_" &amp; APIF_Import!$O429), VLOOKUP( APIF_Import!$O429 &amp; APIF_Import!$H$1,Podesavanja!$AA$3:$AD$28, 4, 0), 0))</f>
        <v>0</v>
      </c>
      <c r="I429" s="230">
        <f ca="1">IF( ISNA( VLOOKUP( APIF_Import!$O429 &amp; APIF_Import!$I$1,Podesavanja!$AA$3:$AD$28, 4, 0)), "", VLOOKUP( APIF_Import!$C429, INDIRECT( "Lookup_" &amp; APIF_Import!$O429), VLOOKUP( APIF_Import!$O429 &amp; APIF_Import!$I$1,Podesavanja!$AA$3:$AD$28, 4, 0), 0))</f>
        <v>0</v>
      </c>
      <c r="J429" s="230">
        <f ca="1">IF( ISNA( VLOOKUP( APIF_Import!$O429 &amp; APIF_Import!$J$1,Podesavanja!$AA$3:$AD$28, 4, 0)), "", VLOOKUP( APIF_Import!$C429, INDIRECT( "Lookup_" &amp; APIF_Import!$O429), VLOOKUP( APIF_Import!$O429 &amp; APIF_Import!$J$1,Podesavanja!$AA$3:$AD$28, 4, 0), 0))</f>
        <v>0</v>
      </c>
      <c r="K429" s="230">
        <f ca="1">IF( ISNA( VLOOKUP( APIF_Import!$O429 &amp; APIF_Import!$K$1,Podesavanja!$AA$3:$AD$28, 4, 0)), "", VLOOKUP( APIF_Import!$C429, INDIRECT( "Lookup_" &amp; APIF_Import!$O429), VLOOKUP( APIF_Import!$O429 &amp; APIF_Import!$K$1,Podesavanja!$AA$3:$AD$28, 4, 0), 0))</f>
        <v>0</v>
      </c>
      <c r="L429" s="230">
        <f ca="1">IF( ISNA( VLOOKUP( APIF_Import!$O429 &amp; APIF_Import!$L$1,Podesavanja!$AA$3:$AD$28, 4, 0)), "", VLOOKUP( APIF_Import!$C429, INDIRECT( "Lookup_" &amp; APIF_Import!$O429), VLOOKUP( APIF_Import!$O429 &amp; APIF_Import!$L$1,Podesavanja!$AA$3:$AD$28, 4, 0), 0))</f>
        <v>0</v>
      </c>
      <c r="M429" s="230">
        <f ca="1">IF( ISNA( VLOOKUP( APIF_Import!$O429 &amp; APIF_Import!$M$1,Podesavanja!$AA$3:$AD$28, 4, 0)), "", VLOOKUP( APIF_Import!$C429, INDIRECT( "Lookup_" &amp; APIF_Import!$O429), VLOOKUP( APIF_Import!$O429 &amp; APIF_Import!$M$1,Podesavanja!$AA$3:$AD$28, 4, 0), 0))</f>
        <v>0</v>
      </c>
      <c r="N429" s="8">
        <v>434</v>
      </c>
      <c r="O429" s="253" t="s">
        <v>1539</v>
      </c>
    </row>
    <row r="430" spans="2:15">
      <c r="B430" s="44">
        <f ca="1">VLOOKUP( APIF_Import!$O430, Podesavanja!$N$3:$Q$9, 4, 0)</f>
        <v>6</v>
      </c>
      <c r="C430" s="229">
        <f ca="1">VLOOKUP( APIF_Import!$N430, Aop!$A$2:$P$456, 4, 0)</f>
        <v>910</v>
      </c>
      <c r="D430" s="230" t="str">
        <f ca="1">IF( ISNA( VLOOKUP( APIF_Import!$O430 &amp; APIF_Import!$D$1,Podesavanja!$AA$3:$AD$28, 4, 0)), "", SUBSTITUTE( VALUE( VLOOKUP( APIF_Import!$C430, INDIRECT( "Lookup_" &amp; APIF_Import!$O430), VLOOKUP( APIF_Import!$O430 &amp; APIF_Import!$D$1,Podesavanja!$AA$3:$AD$28, 4, 0), 0)), ".", ","))</f>
        <v>0</v>
      </c>
      <c r="E430" s="230">
        <f ca="1">IF( ISNA( VLOOKUP( APIF_Import!$O430 &amp; APIF_Import!$E$1,Podesavanja!$AA$3:$AD$28, 4, 0)), "", VLOOKUP( APIF_Import!$C430, INDIRECT( "Lookup_" &amp; APIF_Import!$O430), VLOOKUP( APIF_Import!$O430 &amp; APIF_Import!$E$1,Podesavanja!$AA$3:$AD$28, 4, 0), 0))</f>
        <v>0</v>
      </c>
      <c r="F430" s="230">
        <f ca="1">IF( ISNA( VLOOKUP( APIF_Import!$O430 &amp; APIF_Import!$F$1,Podesavanja!$AA$3:$AD$28, 4, 0)), "", VLOOKUP( APIF_Import!$C430, INDIRECT( "Lookup_" &amp; APIF_Import!$O430), VLOOKUP( APIF_Import!$O430 &amp; APIF_Import!$F$1,Podesavanja!$AA$3:$AD$28, 4, 0), 0))</f>
        <v>0</v>
      </c>
      <c r="G430" s="230">
        <f ca="1">IF( ISNA( VLOOKUP( APIF_Import!$O430 &amp; APIF_Import!$G$1,Podesavanja!$AA$3:$AD$28, 4, 0)), "", VLOOKUP( APIF_Import!$C430, INDIRECT( "Lookup_" &amp; APIF_Import!$O430), VLOOKUP( APIF_Import!$O430 &amp; APIF_Import!$G$1,Podesavanja!$AA$3:$AD$28, 4, 0), 0))</f>
        <v>0</v>
      </c>
      <c r="H430" s="230">
        <f ca="1">IF( ISNA( VLOOKUP( APIF_Import!$O430 &amp; APIF_Import!$H$1,Podesavanja!$AA$3:$AD$28, 4, 0)), "", VLOOKUP( APIF_Import!$C430, INDIRECT( "Lookup_" &amp; APIF_Import!$O430), VLOOKUP( APIF_Import!$O430 &amp; APIF_Import!$H$1,Podesavanja!$AA$3:$AD$28, 4, 0), 0))</f>
        <v>0</v>
      </c>
      <c r="I430" s="230">
        <f ca="1">IF( ISNA( VLOOKUP( APIF_Import!$O430 &amp; APIF_Import!$I$1,Podesavanja!$AA$3:$AD$28, 4, 0)), "", VLOOKUP( APIF_Import!$C430, INDIRECT( "Lookup_" &amp; APIF_Import!$O430), VLOOKUP( APIF_Import!$O430 &amp; APIF_Import!$I$1,Podesavanja!$AA$3:$AD$28, 4, 0), 0))</f>
        <v>0</v>
      </c>
      <c r="J430" s="230">
        <f ca="1">IF( ISNA( VLOOKUP( APIF_Import!$O430 &amp; APIF_Import!$J$1,Podesavanja!$AA$3:$AD$28, 4, 0)), "", VLOOKUP( APIF_Import!$C430, INDIRECT( "Lookup_" &amp; APIF_Import!$O430), VLOOKUP( APIF_Import!$O430 &amp; APIF_Import!$J$1,Podesavanja!$AA$3:$AD$28, 4, 0), 0))</f>
        <v>0</v>
      </c>
      <c r="K430" s="230">
        <f ca="1">IF( ISNA( VLOOKUP( APIF_Import!$O430 &amp; APIF_Import!$K$1,Podesavanja!$AA$3:$AD$28, 4, 0)), "", VLOOKUP( APIF_Import!$C430, INDIRECT( "Lookup_" &amp; APIF_Import!$O430), VLOOKUP( APIF_Import!$O430 &amp; APIF_Import!$K$1,Podesavanja!$AA$3:$AD$28, 4, 0), 0))</f>
        <v>0</v>
      </c>
      <c r="L430" s="230">
        <f ca="1">IF( ISNA( VLOOKUP( APIF_Import!$O430 &amp; APIF_Import!$L$1,Podesavanja!$AA$3:$AD$28, 4, 0)), "", VLOOKUP( APIF_Import!$C430, INDIRECT( "Lookup_" &amp; APIF_Import!$O430), VLOOKUP( APIF_Import!$O430 &amp; APIF_Import!$L$1,Podesavanja!$AA$3:$AD$28, 4, 0), 0))</f>
        <v>0</v>
      </c>
      <c r="M430" s="230">
        <f ca="1">IF( ISNA( VLOOKUP( APIF_Import!$O430 &amp; APIF_Import!$M$1,Podesavanja!$AA$3:$AD$28, 4, 0)), "", VLOOKUP( APIF_Import!$C430, INDIRECT( "Lookup_" &amp; APIF_Import!$O430), VLOOKUP( APIF_Import!$O430 &amp; APIF_Import!$M$1,Podesavanja!$AA$3:$AD$28, 4, 0), 0))</f>
        <v>0</v>
      </c>
      <c r="N430" s="8">
        <v>435</v>
      </c>
      <c r="O430" s="253" t="s">
        <v>1539</v>
      </c>
    </row>
    <row r="431" spans="2:15">
      <c r="B431" s="44">
        <f ca="1">VLOOKUP( APIF_Import!$O431, Podesavanja!$N$3:$Q$9, 4, 0)</f>
        <v>6</v>
      </c>
      <c r="C431" s="229">
        <f ca="1">VLOOKUP( APIF_Import!$N431, Aop!$A$2:$P$456, 4, 0)</f>
        <v>911</v>
      </c>
      <c r="D431" s="230" t="str">
        <f ca="1">IF( ISNA( VLOOKUP( APIF_Import!$O431 &amp; APIF_Import!$D$1,Podesavanja!$AA$3:$AD$28, 4, 0)), "", SUBSTITUTE( VALUE( VLOOKUP( APIF_Import!$C431, INDIRECT( "Lookup_" &amp; APIF_Import!$O431), VLOOKUP( APIF_Import!$O431 &amp; APIF_Import!$D$1,Podesavanja!$AA$3:$AD$28, 4, 0), 0)), ".", ","))</f>
        <v>0</v>
      </c>
      <c r="E431" s="230">
        <f ca="1">IF( ISNA( VLOOKUP( APIF_Import!$O431 &amp; APIF_Import!$E$1,Podesavanja!$AA$3:$AD$28, 4, 0)), "", VLOOKUP( APIF_Import!$C431, INDIRECT( "Lookup_" &amp; APIF_Import!$O431), VLOOKUP( APIF_Import!$O431 &amp; APIF_Import!$E$1,Podesavanja!$AA$3:$AD$28, 4, 0), 0))</f>
        <v>0</v>
      </c>
      <c r="F431" s="230">
        <f ca="1">IF( ISNA( VLOOKUP( APIF_Import!$O431 &amp; APIF_Import!$F$1,Podesavanja!$AA$3:$AD$28, 4, 0)), "", VLOOKUP( APIF_Import!$C431, INDIRECT( "Lookup_" &amp; APIF_Import!$O431), VLOOKUP( APIF_Import!$O431 &amp; APIF_Import!$F$1,Podesavanja!$AA$3:$AD$28, 4, 0), 0))</f>
        <v>0</v>
      </c>
      <c r="G431" s="230">
        <f ca="1">IF( ISNA( VLOOKUP( APIF_Import!$O431 &amp; APIF_Import!$G$1,Podesavanja!$AA$3:$AD$28, 4, 0)), "", VLOOKUP( APIF_Import!$C431, INDIRECT( "Lookup_" &amp; APIF_Import!$O431), VLOOKUP( APIF_Import!$O431 &amp; APIF_Import!$G$1,Podesavanja!$AA$3:$AD$28, 4, 0), 0))</f>
        <v>0</v>
      </c>
      <c r="H431" s="230">
        <f ca="1">IF( ISNA( VLOOKUP( APIF_Import!$O431 &amp; APIF_Import!$H$1,Podesavanja!$AA$3:$AD$28, 4, 0)), "", VLOOKUP( APIF_Import!$C431, INDIRECT( "Lookup_" &amp; APIF_Import!$O431), VLOOKUP( APIF_Import!$O431 &amp; APIF_Import!$H$1,Podesavanja!$AA$3:$AD$28, 4, 0), 0))</f>
        <v>0</v>
      </c>
      <c r="I431" s="230">
        <f ca="1">IF( ISNA( VLOOKUP( APIF_Import!$O431 &amp; APIF_Import!$I$1,Podesavanja!$AA$3:$AD$28, 4, 0)), "", VLOOKUP( APIF_Import!$C431, INDIRECT( "Lookup_" &amp; APIF_Import!$O431), VLOOKUP( APIF_Import!$O431 &amp; APIF_Import!$I$1,Podesavanja!$AA$3:$AD$28, 4, 0), 0))</f>
        <v>0</v>
      </c>
      <c r="J431" s="230">
        <f ca="1">IF( ISNA( VLOOKUP( APIF_Import!$O431 &amp; APIF_Import!$J$1,Podesavanja!$AA$3:$AD$28, 4, 0)), "", VLOOKUP( APIF_Import!$C431, INDIRECT( "Lookup_" &amp; APIF_Import!$O431), VLOOKUP( APIF_Import!$O431 &amp; APIF_Import!$J$1,Podesavanja!$AA$3:$AD$28, 4, 0), 0))</f>
        <v>0</v>
      </c>
      <c r="K431" s="230">
        <f ca="1">IF( ISNA( VLOOKUP( APIF_Import!$O431 &amp; APIF_Import!$K$1,Podesavanja!$AA$3:$AD$28, 4, 0)), "", VLOOKUP( APIF_Import!$C431, INDIRECT( "Lookup_" &amp; APIF_Import!$O431), VLOOKUP( APIF_Import!$O431 &amp; APIF_Import!$K$1,Podesavanja!$AA$3:$AD$28, 4, 0), 0))</f>
        <v>0</v>
      </c>
      <c r="L431" s="230">
        <f ca="1">IF( ISNA( VLOOKUP( APIF_Import!$O431 &amp; APIF_Import!$L$1,Podesavanja!$AA$3:$AD$28, 4, 0)), "", VLOOKUP( APIF_Import!$C431, INDIRECT( "Lookup_" &amp; APIF_Import!$O431), VLOOKUP( APIF_Import!$O431 &amp; APIF_Import!$L$1,Podesavanja!$AA$3:$AD$28, 4, 0), 0))</f>
        <v>0</v>
      </c>
      <c r="M431" s="230">
        <f ca="1">IF( ISNA( VLOOKUP( APIF_Import!$O431 &amp; APIF_Import!$M$1,Podesavanja!$AA$3:$AD$28, 4, 0)), "", VLOOKUP( APIF_Import!$C431, INDIRECT( "Lookup_" &amp; APIF_Import!$O431), VLOOKUP( APIF_Import!$O431 &amp; APIF_Import!$M$1,Podesavanja!$AA$3:$AD$28, 4, 0), 0))</f>
        <v>0</v>
      </c>
      <c r="N431" s="8">
        <v>436</v>
      </c>
      <c r="O431" s="253" t="s">
        <v>1539</v>
      </c>
    </row>
    <row r="432" spans="2:15">
      <c r="B432" s="44">
        <f ca="1">VLOOKUP( APIF_Import!$O432, Podesavanja!$N$3:$Q$9, 4, 0)</f>
        <v>6</v>
      </c>
      <c r="C432" s="229">
        <f ca="1">VLOOKUP( APIF_Import!$N432, Aop!$A$2:$P$456, 4, 0)</f>
        <v>912</v>
      </c>
      <c r="D432" s="230" t="str">
        <f ca="1">IF( ISNA( VLOOKUP( APIF_Import!$O432 &amp; APIF_Import!$D$1,Podesavanja!$AA$3:$AD$28, 4, 0)), "", SUBSTITUTE( VALUE( VLOOKUP( APIF_Import!$C432, INDIRECT( "Lookup_" &amp; APIF_Import!$O432), VLOOKUP( APIF_Import!$O432 &amp; APIF_Import!$D$1,Podesavanja!$AA$3:$AD$28, 4, 0), 0)), ".", ","))</f>
        <v>0</v>
      </c>
      <c r="E432" s="230">
        <f ca="1">IF( ISNA( VLOOKUP( APIF_Import!$O432 &amp; APIF_Import!$E$1,Podesavanja!$AA$3:$AD$28, 4, 0)), "", VLOOKUP( APIF_Import!$C432, INDIRECT( "Lookup_" &amp; APIF_Import!$O432), VLOOKUP( APIF_Import!$O432 &amp; APIF_Import!$E$1,Podesavanja!$AA$3:$AD$28, 4, 0), 0))</f>
        <v>0</v>
      </c>
      <c r="F432" s="230">
        <f ca="1">IF( ISNA( VLOOKUP( APIF_Import!$O432 &amp; APIF_Import!$F$1,Podesavanja!$AA$3:$AD$28, 4, 0)), "", VLOOKUP( APIF_Import!$C432, INDIRECT( "Lookup_" &amp; APIF_Import!$O432), VLOOKUP( APIF_Import!$O432 &amp; APIF_Import!$F$1,Podesavanja!$AA$3:$AD$28, 4, 0), 0))</f>
        <v>0</v>
      </c>
      <c r="G432" s="230">
        <f ca="1">IF( ISNA( VLOOKUP( APIF_Import!$O432 &amp; APIF_Import!$G$1,Podesavanja!$AA$3:$AD$28, 4, 0)), "", VLOOKUP( APIF_Import!$C432, INDIRECT( "Lookup_" &amp; APIF_Import!$O432), VLOOKUP( APIF_Import!$O432 &amp; APIF_Import!$G$1,Podesavanja!$AA$3:$AD$28, 4, 0), 0))</f>
        <v>0</v>
      </c>
      <c r="H432" s="230">
        <f ca="1">IF( ISNA( VLOOKUP( APIF_Import!$O432 &amp; APIF_Import!$H$1,Podesavanja!$AA$3:$AD$28, 4, 0)), "", VLOOKUP( APIF_Import!$C432, INDIRECT( "Lookup_" &amp; APIF_Import!$O432), VLOOKUP( APIF_Import!$O432 &amp; APIF_Import!$H$1,Podesavanja!$AA$3:$AD$28, 4, 0), 0))</f>
        <v>0</v>
      </c>
      <c r="I432" s="230">
        <f ca="1">IF( ISNA( VLOOKUP( APIF_Import!$O432 &amp; APIF_Import!$I$1,Podesavanja!$AA$3:$AD$28, 4, 0)), "", VLOOKUP( APIF_Import!$C432, INDIRECT( "Lookup_" &amp; APIF_Import!$O432), VLOOKUP( APIF_Import!$O432 &amp; APIF_Import!$I$1,Podesavanja!$AA$3:$AD$28, 4, 0), 0))</f>
        <v>0</v>
      </c>
      <c r="J432" s="230">
        <f ca="1">IF( ISNA( VLOOKUP( APIF_Import!$O432 &amp; APIF_Import!$J$1,Podesavanja!$AA$3:$AD$28, 4, 0)), "", VLOOKUP( APIF_Import!$C432, INDIRECT( "Lookup_" &amp; APIF_Import!$O432), VLOOKUP( APIF_Import!$O432 &amp; APIF_Import!$J$1,Podesavanja!$AA$3:$AD$28, 4, 0), 0))</f>
        <v>0</v>
      </c>
      <c r="K432" s="230">
        <f ca="1">IF( ISNA( VLOOKUP( APIF_Import!$O432 &amp; APIF_Import!$K$1,Podesavanja!$AA$3:$AD$28, 4, 0)), "", VLOOKUP( APIF_Import!$C432, INDIRECT( "Lookup_" &amp; APIF_Import!$O432), VLOOKUP( APIF_Import!$O432 &amp; APIF_Import!$K$1,Podesavanja!$AA$3:$AD$28, 4, 0), 0))</f>
        <v>0</v>
      </c>
      <c r="L432" s="230">
        <f ca="1">IF( ISNA( VLOOKUP( APIF_Import!$O432 &amp; APIF_Import!$L$1,Podesavanja!$AA$3:$AD$28, 4, 0)), "", VLOOKUP( APIF_Import!$C432, INDIRECT( "Lookup_" &amp; APIF_Import!$O432), VLOOKUP( APIF_Import!$O432 &amp; APIF_Import!$L$1,Podesavanja!$AA$3:$AD$28, 4, 0), 0))</f>
        <v>0</v>
      </c>
      <c r="M432" s="230">
        <f ca="1">IF( ISNA( VLOOKUP( APIF_Import!$O432 &amp; APIF_Import!$M$1,Podesavanja!$AA$3:$AD$28, 4, 0)), "", VLOOKUP( APIF_Import!$C432, INDIRECT( "Lookup_" &amp; APIF_Import!$O432), VLOOKUP( APIF_Import!$O432 &amp; APIF_Import!$M$1,Podesavanja!$AA$3:$AD$28, 4, 0), 0))</f>
        <v>0</v>
      </c>
      <c r="N432" s="8">
        <v>437</v>
      </c>
      <c r="O432" s="253" t="s">
        <v>1539</v>
      </c>
    </row>
    <row r="433" spans="2:15">
      <c r="B433" s="44">
        <f ca="1">VLOOKUP( APIF_Import!$O433, Podesavanja!$N$3:$Q$9, 4, 0)</f>
        <v>6</v>
      </c>
      <c r="C433" s="229">
        <f ca="1">VLOOKUP( APIF_Import!$N433, Aop!$A$2:$P$456, 4, 0)</f>
        <v>913</v>
      </c>
      <c r="D433" s="230" t="str">
        <f ca="1">IF( ISNA( VLOOKUP( APIF_Import!$O433 &amp; APIF_Import!$D$1,Podesavanja!$AA$3:$AD$28, 4, 0)), "", SUBSTITUTE( VALUE( VLOOKUP( APIF_Import!$C433, INDIRECT( "Lookup_" &amp; APIF_Import!$O433), VLOOKUP( APIF_Import!$O433 &amp; APIF_Import!$D$1,Podesavanja!$AA$3:$AD$28, 4, 0), 0)), ".", ","))</f>
        <v>50777428</v>
      </c>
      <c r="E433" s="230">
        <f ca="1">IF( ISNA( VLOOKUP( APIF_Import!$O433 &amp; APIF_Import!$E$1,Podesavanja!$AA$3:$AD$28, 4, 0)), "", VLOOKUP( APIF_Import!$C433, INDIRECT( "Lookup_" &amp; APIF_Import!$O433), VLOOKUP( APIF_Import!$O433 &amp; APIF_Import!$E$1,Podesavanja!$AA$3:$AD$28, 4, 0), 0))</f>
        <v>0</v>
      </c>
      <c r="F433" s="230">
        <f ca="1">IF( ISNA( VLOOKUP( APIF_Import!$O433 &amp; APIF_Import!$F$1,Podesavanja!$AA$3:$AD$28, 4, 0)), "", VLOOKUP( APIF_Import!$C433, INDIRECT( "Lookup_" &amp; APIF_Import!$O433), VLOOKUP( APIF_Import!$O433 &amp; APIF_Import!$F$1,Podesavanja!$AA$3:$AD$28, 4, 0), 0))</f>
        <v>20971</v>
      </c>
      <c r="G433" s="230">
        <f ca="1">IF( ISNA( VLOOKUP( APIF_Import!$O433 &amp; APIF_Import!$G$1,Podesavanja!$AA$3:$AD$28, 4, 0)), "", VLOOKUP( APIF_Import!$C433, INDIRECT( "Lookup_" &amp; APIF_Import!$O433), VLOOKUP( APIF_Import!$O433 &amp; APIF_Import!$G$1,Podesavanja!$AA$3:$AD$28, 4, 0), 0))</f>
        <v>0</v>
      </c>
      <c r="H433" s="230">
        <f ca="1">IF( ISNA( VLOOKUP( APIF_Import!$O433 &amp; APIF_Import!$H$1,Podesavanja!$AA$3:$AD$28, 4, 0)), "", VLOOKUP( APIF_Import!$C433, INDIRECT( "Lookup_" &amp; APIF_Import!$O433), VLOOKUP( APIF_Import!$O433 &amp; APIF_Import!$H$1,Podesavanja!$AA$3:$AD$28, 4, 0), 0))</f>
        <v>0</v>
      </c>
      <c r="I433" s="230">
        <f ca="1">IF( ISNA( VLOOKUP( APIF_Import!$O433 &amp; APIF_Import!$I$1,Podesavanja!$AA$3:$AD$28, 4, 0)), "", VLOOKUP( APIF_Import!$C433, INDIRECT( "Lookup_" &amp; APIF_Import!$O433), VLOOKUP( APIF_Import!$O433 &amp; APIF_Import!$I$1,Podesavanja!$AA$3:$AD$28, 4, 0), 0))</f>
        <v>15495786</v>
      </c>
      <c r="J433" s="230">
        <f ca="1">IF( ISNA( VLOOKUP( APIF_Import!$O433 &amp; APIF_Import!$J$1,Podesavanja!$AA$3:$AD$28, 4, 0)), "", VLOOKUP( APIF_Import!$C433, INDIRECT( "Lookup_" &amp; APIF_Import!$O433), VLOOKUP( APIF_Import!$O433 &amp; APIF_Import!$J$1,Podesavanja!$AA$3:$AD$28, 4, 0), 0))</f>
        <v>19107814</v>
      </c>
      <c r="K433" s="230">
        <f ca="1">IF( ISNA( VLOOKUP( APIF_Import!$O433 &amp; APIF_Import!$K$1,Podesavanja!$AA$3:$AD$28, 4, 0)), "", VLOOKUP( APIF_Import!$C433, INDIRECT( "Lookup_" &amp; APIF_Import!$O433), VLOOKUP( APIF_Import!$O433 &amp; APIF_Import!$K$1,Podesavanja!$AA$3:$AD$28, 4, 0), 0))</f>
        <v>85401999</v>
      </c>
      <c r="L433" s="230">
        <f ca="1">IF( ISNA( VLOOKUP( APIF_Import!$O433 &amp; APIF_Import!$L$1,Podesavanja!$AA$3:$AD$28, 4, 0)), "", VLOOKUP( APIF_Import!$C433, INDIRECT( "Lookup_" &amp; APIF_Import!$O433), VLOOKUP( APIF_Import!$O433 &amp; APIF_Import!$L$1,Podesavanja!$AA$3:$AD$28, 4, 0), 0))</f>
        <v>0</v>
      </c>
      <c r="M433" s="230">
        <f ca="1">IF( ISNA( VLOOKUP( APIF_Import!$O433 &amp; APIF_Import!$M$1,Podesavanja!$AA$3:$AD$28, 4, 0)), "", VLOOKUP( APIF_Import!$C433, INDIRECT( "Lookup_" &amp; APIF_Import!$O433), VLOOKUP( APIF_Import!$O433 &amp; APIF_Import!$M$1,Podesavanja!$AA$3:$AD$28, 4, 0), 0))</f>
        <v>85401999</v>
      </c>
      <c r="N433" s="8">
        <v>439</v>
      </c>
      <c r="O433" s="253" t="s">
        <v>1539</v>
      </c>
    </row>
    <row r="434" spans="2:15">
      <c r="B434" s="44">
        <f ca="1">VLOOKUP( APIF_Import!$O434, Podesavanja!$N$3:$Q$9, 4, 0)</f>
        <v>6</v>
      </c>
      <c r="C434" s="229">
        <f ca="1">VLOOKUP( APIF_Import!$N434, Aop!$A$2:$P$456, 4, 0)</f>
        <v>914</v>
      </c>
      <c r="D434" s="230" t="str">
        <f ca="1">IF( ISNA( VLOOKUP( APIF_Import!$O434 &amp; APIF_Import!$D$1,Podesavanja!$AA$3:$AD$28, 4, 0)), "", SUBSTITUTE( VALUE( VLOOKUP( APIF_Import!$C434, INDIRECT( "Lookup_" &amp; APIF_Import!$O434), VLOOKUP( APIF_Import!$O434 &amp; APIF_Import!$D$1,Podesavanja!$AA$3:$AD$28, 4, 0), 0)), ".", ","))</f>
        <v>0</v>
      </c>
      <c r="E434" s="230">
        <f ca="1">IF( ISNA( VLOOKUP( APIF_Import!$O434 &amp; APIF_Import!$E$1,Podesavanja!$AA$3:$AD$28, 4, 0)), "", VLOOKUP( APIF_Import!$C434, INDIRECT( "Lookup_" &amp; APIF_Import!$O434), VLOOKUP( APIF_Import!$O434 &amp; APIF_Import!$E$1,Podesavanja!$AA$3:$AD$28, 4, 0), 0))</f>
        <v>0</v>
      </c>
      <c r="F434" s="230">
        <f ca="1">IF( ISNA( VLOOKUP( APIF_Import!$O434 &amp; APIF_Import!$F$1,Podesavanja!$AA$3:$AD$28, 4, 0)), "", VLOOKUP( APIF_Import!$C434, INDIRECT( "Lookup_" &amp; APIF_Import!$O434), VLOOKUP( APIF_Import!$O434 &amp; APIF_Import!$F$1,Podesavanja!$AA$3:$AD$28, 4, 0), 0))</f>
        <v>0</v>
      </c>
      <c r="G434" s="230">
        <f ca="1">IF( ISNA( VLOOKUP( APIF_Import!$O434 &amp; APIF_Import!$G$1,Podesavanja!$AA$3:$AD$28, 4, 0)), "", VLOOKUP( APIF_Import!$C434, INDIRECT( "Lookup_" &amp; APIF_Import!$O434), VLOOKUP( APIF_Import!$O434 &amp; APIF_Import!$G$1,Podesavanja!$AA$3:$AD$28, 4, 0), 0))</f>
        <v>0</v>
      </c>
      <c r="H434" s="230">
        <f ca="1">IF( ISNA( VLOOKUP( APIF_Import!$O434 &amp; APIF_Import!$H$1,Podesavanja!$AA$3:$AD$28, 4, 0)), "", VLOOKUP( APIF_Import!$C434, INDIRECT( "Lookup_" &amp; APIF_Import!$O434), VLOOKUP( APIF_Import!$O434 &amp; APIF_Import!$H$1,Podesavanja!$AA$3:$AD$28, 4, 0), 0))</f>
        <v>0</v>
      </c>
      <c r="I434" s="230">
        <f ca="1">IF( ISNA( VLOOKUP( APIF_Import!$O434 &amp; APIF_Import!$I$1,Podesavanja!$AA$3:$AD$28, 4, 0)), "", VLOOKUP( APIF_Import!$C434, INDIRECT( "Lookup_" &amp; APIF_Import!$O434), VLOOKUP( APIF_Import!$O434 &amp; APIF_Import!$I$1,Podesavanja!$AA$3:$AD$28, 4, 0), 0))</f>
        <v>0</v>
      </c>
      <c r="J434" s="230">
        <f ca="1">IF( ISNA( VLOOKUP( APIF_Import!$O434 &amp; APIF_Import!$J$1,Podesavanja!$AA$3:$AD$28, 4, 0)), "", VLOOKUP( APIF_Import!$C434, INDIRECT( "Lookup_" &amp; APIF_Import!$O434), VLOOKUP( APIF_Import!$O434 &amp; APIF_Import!$J$1,Podesavanja!$AA$3:$AD$28, 4, 0), 0))</f>
        <v>0</v>
      </c>
      <c r="K434" s="230">
        <f ca="1">IF( ISNA( VLOOKUP( APIF_Import!$O434 &amp; APIF_Import!$K$1,Podesavanja!$AA$3:$AD$28, 4, 0)), "", VLOOKUP( APIF_Import!$C434, INDIRECT( "Lookup_" &amp; APIF_Import!$O434), VLOOKUP( APIF_Import!$O434 &amp; APIF_Import!$K$1,Podesavanja!$AA$3:$AD$28, 4, 0), 0))</f>
        <v>0</v>
      </c>
      <c r="L434" s="230">
        <f ca="1">IF( ISNA( VLOOKUP( APIF_Import!$O434 &amp; APIF_Import!$L$1,Podesavanja!$AA$3:$AD$28, 4, 0)), "", VLOOKUP( APIF_Import!$C434, INDIRECT( "Lookup_" &amp; APIF_Import!$O434), VLOOKUP( APIF_Import!$O434 &amp; APIF_Import!$L$1,Podesavanja!$AA$3:$AD$28, 4, 0), 0))</f>
        <v>0</v>
      </c>
      <c r="M434" s="230">
        <f ca="1">IF( ISNA( VLOOKUP( APIF_Import!$O434 &amp; APIF_Import!$M$1,Podesavanja!$AA$3:$AD$28, 4, 0)), "", VLOOKUP( APIF_Import!$C434, INDIRECT( "Lookup_" &amp; APIF_Import!$O434), VLOOKUP( APIF_Import!$O434 &amp; APIF_Import!$M$1,Podesavanja!$AA$3:$AD$28, 4, 0), 0))</f>
        <v>0</v>
      </c>
      <c r="N434" s="8">
        <v>441</v>
      </c>
      <c r="O434" s="253" t="s">
        <v>1539</v>
      </c>
    </row>
    <row r="435" spans="2:15">
      <c r="B435" s="44">
        <f ca="1">VLOOKUP( APIF_Import!$O435, Podesavanja!$N$3:$Q$9, 4, 0)</f>
        <v>6</v>
      </c>
      <c r="C435" s="229">
        <f ca="1">VLOOKUP( APIF_Import!$N435, Aop!$A$2:$P$456, 4, 0)</f>
        <v>915</v>
      </c>
      <c r="D435" s="230" t="str">
        <f ca="1">IF( ISNA( VLOOKUP( APIF_Import!$O435 &amp; APIF_Import!$D$1,Podesavanja!$AA$3:$AD$28, 4, 0)), "", SUBSTITUTE( VALUE( VLOOKUP( APIF_Import!$C435, INDIRECT( "Lookup_" &amp; APIF_Import!$O435), VLOOKUP( APIF_Import!$O435 &amp; APIF_Import!$D$1,Podesavanja!$AA$3:$AD$28, 4, 0), 0)), ".", ","))</f>
        <v>0</v>
      </c>
      <c r="E435" s="230">
        <f ca="1">IF( ISNA( VLOOKUP( APIF_Import!$O435 &amp; APIF_Import!$E$1,Podesavanja!$AA$3:$AD$28, 4, 0)), "", VLOOKUP( APIF_Import!$C435, INDIRECT( "Lookup_" &amp; APIF_Import!$O435), VLOOKUP( APIF_Import!$O435 &amp; APIF_Import!$E$1,Podesavanja!$AA$3:$AD$28, 4, 0), 0))</f>
        <v>0</v>
      </c>
      <c r="F435" s="230">
        <f ca="1">IF( ISNA( VLOOKUP( APIF_Import!$O435 &amp; APIF_Import!$F$1,Podesavanja!$AA$3:$AD$28, 4, 0)), "", VLOOKUP( APIF_Import!$C435, INDIRECT( "Lookup_" &amp; APIF_Import!$O435), VLOOKUP( APIF_Import!$O435 &amp; APIF_Import!$F$1,Podesavanja!$AA$3:$AD$28, 4, 0), 0))</f>
        <v>0</v>
      </c>
      <c r="G435" s="230">
        <f ca="1">IF( ISNA( VLOOKUP( APIF_Import!$O435 &amp; APIF_Import!$G$1,Podesavanja!$AA$3:$AD$28, 4, 0)), "", VLOOKUP( APIF_Import!$C435, INDIRECT( "Lookup_" &amp; APIF_Import!$O435), VLOOKUP( APIF_Import!$O435 &amp; APIF_Import!$G$1,Podesavanja!$AA$3:$AD$28, 4, 0), 0))</f>
        <v>0</v>
      </c>
      <c r="H435" s="230">
        <f ca="1">IF( ISNA( VLOOKUP( APIF_Import!$O435 &amp; APIF_Import!$H$1,Podesavanja!$AA$3:$AD$28, 4, 0)), "", VLOOKUP( APIF_Import!$C435, INDIRECT( "Lookup_" &amp; APIF_Import!$O435), VLOOKUP( APIF_Import!$O435 &amp; APIF_Import!$H$1,Podesavanja!$AA$3:$AD$28, 4, 0), 0))</f>
        <v>0</v>
      </c>
      <c r="I435" s="230">
        <f ca="1">IF( ISNA( VLOOKUP( APIF_Import!$O435 &amp; APIF_Import!$I$1,Podesavanja!$AA$3:$AD$28, 4, 0)), "", VLOOKUP( APIF_Import!$C435, INDIRECT( "Lookup_" &amp; APIF_Import!$O435), VLOOKUP( APIF_Import!$O435 &amp; APIF_Import!$I$1,Podesavanja!$AA$3:$AD$28, 4, 0), 0))</f>
        <v>0</v>
      </c>
      <c r="J435" s="230">
        <f ca="1">IF( ISNA( VLOOKUP( APIF_Import!$O435 &amp; APIF_Import!$J$1,Podesavanja!$AA$3:$AD$28, 4, 0)), "", VLOOKUP( APIF_Import!$C435, INDIRECT( "Lookup_" &amp; APIF_Import!$O435), VLOOKUP( APIF_Import!$O435 &amp; APIF_Import!$J$1,Podesavanja!$AA$3:$AD$28, 4, 0), 0))</f>
        <v>0</v>
      </c>
      <c r="K435" s="230">
        <f ca="1">IF( ISNA( VLOOKUP( APIF_Import!$O435 &amp; APIF_Import!$K$1,Podesavanja!$AA$3:$AD$28, 4, 0)), "", VLOOKUP( APIF_Import!$C435, INDIRECT( "Lookup_" &amp; APIF_Import!$O435), VLOOKUP( APIF_Import!$O435 &amp; APIF_Import!$K$1,Podesavanja!$AA$3:$AD$28, 4, 0), 0))</f>
        <v>0</v>
      </c>
      <c r="L435" s="230">
        <f ca="1">IF( ISNA( VLOOKUP( APIF_Import!$O435 &amp; APIF_Import!$L$1,Podesavanja!$AA$3:$AD$28, 4, 0)), "", VLOOKUP( APIF_Import!$C435, INDIRECT( "Lookup_" &amp; APIF_Import!$O435), VLOOKUP( APIF_Import!$O435 &amp; APIF_Import!$L$1,Podesavanja!$AA$3:$AD$28, 4, 0), 0))</f>
        <v>0</v>
      </c>
      <c r="M435" s="230">
        <f ca="1">IF( ISNA( VLOOKUP( APIF_Import!$O435 &amp; APIF_Import!$M$1,Podesavanja!$AA$3:$AD$28, 4, 0)), "", VLOOKUP( APIF_Import!$C435, INDIRECT( "Lookup_" &amp; APIF_Import!$O435), VLOOKUP( APIF_Import!$O435 &amp; APIF_Import!$M$1,Podesavanja!$AA$3:$AD$28, 4, 0), 0))</f>
        <v>0</v>
      </c>
      <c r="N435" s="8">
        <v>442</v>
      </c>
      <c r="O435" s="253" t="s">
        <v>1539</v>
      </c>
    </row>
    <row r="436" spans="2:15">
      <c r="B436" s="44">
        <f ca="1">VLOOKUP( APIF_Import!$O436, Podesavanja!$N$3:$Q$9, 4, 0)</f>
        <v>6</v>
      </c>
      <c r="C436" s="229">
        <f ca="1">VLOOKUP( APIF_Import!$N436, Aop!$A$2:$P$456, 4, 0)</f>
        <v>916</v>
      </c>
      <c r="D436" s="230" t="str">
        <f ca="1">IF( ISNA( VLOOKUP( APIF_Import!$O436 &amp; APIF_Import!$D$1,Podesavanja!$AA$3:$AD$28, 4, 0)), "", SUBSTITUTE( VALUE( VLOOKUP( APIF_Import!$C436, INDIRECT( "Lookup_" &amp; APIF_Import!$O436), VLOOKUP( APIF_Import!$O436 &amp; APIF_Import!$D$1,Podesavanja!$AA$3:$AD$28, 4, 0), 0)), ".", ","))</f>
        <v>50777428</v>
      </c>
      <c r="E436" s="230">
        <f ca="1">IF( ISNA( VLOOKUP( APIF_Import!$O436 &amp; APIF_Import!$E$1,Podesavanja!$AA$3:$AD$28, 4, 0)), "", VLOOKUP( APIF_Import!$C436, INDIRECT( "Lookup_" &amp; APIF_Import!$O436), VLOOKUP( APIF_Import!$O436 &amp; APIF_Import!$E$1,Podesavanja!$AA$3:$AD$28, 4, 0), 0))</f>
        <v>0</v>
      </c>
      <c r="F436" s="230">
        <f ca="1">IF( ISNA( VLOOKUP( APIF_Import!$O436 &amp; APIF_Import!$F$1,Podesavanja!$AA$3:$AD$28, 4, 0)), "", VLOOKUP( APIF_Import!$C436, INDIRECT( "Lookup_" &amp; APIF_Import!$O436), VLOOKUP( APIF_Import!$O436 &amp; APIF_Import!$F$1,Podesavanja!$AA$3:$AD$28, 4, 0), 0))</f>
        <v>20971</v>
      </c>
      <c r="G436" s="230">
        <f ca="1">IF( ISNA( VLOOKUP( APIF_Import!$O436 &amp; APIF_Import!$G$1,Podesavanja!$AA$3:$AD$28, 4, 0)), "", VLOOKUP( APIF_Import!$C436, INDIRECT( "Lookup_" &amp; APIF_Import!$O436), VLOOKUP( APIF_Import!$O436 &amp; APIF_Import!$G$1,Podesavanja!$AA$3:$AD$28, 4, 0), 0))</f>
        <v>0</v>
      </c>
      <c r="H436" s="230">
        <f ca="1">IF( ISNA( VLOOKUP( APIF_Import!$O436 &amp; APIF_Import!$H$1,Podesavanja!$AA$3:$AD$28, 4, 0)), "", VLOOKUP( APIF_Import!$C436, INDIRECT( "Lookup_" &amp; APIF_Import!$O436), VLOOKUP( APIF_Import!$O436 &amp; APIF_Import!$H$1,Podesavanja!$AA$3:$AD$28, 4, 0), 0))</f>
        <v>0</v>
      </c>
      <c r="I436" s="230">
        <f ca="1">IF( ISNA( VLOOKUP( APIF_Import!$O436 &amp; APIF_Import!$I$1,Podesavanja!$AA$3:$AD$28, 4, 0)), "", VLOOKUP( APIF_Import!$C436, INDIRECT( "Lookup_" &amp; APIF_Import!$O436), VLOOKUP( APIF_Import!$O436 &amp; APIF_Import!$I$1,Podesavanja!$AA$3:$AD$28, 4, 0), 0))</f>
        <v>15495786</v>
      </c>
      <c r="J436" s="230">
        <f ca="1">IF( ISNA( VLOOKUP( APIF_Import!$O436 &amp; APIF_Import!$J$1,Podesavanja!$AA$3:$AD$28, 4, 0)), "", VLOOKUP( APIF_Import!$C436, INDIRECT( "Lookup_" &amp; APIF_Import!$O436), VLOOKUP( APIF_Import!$O436 &amp; APIF_Import!$J$1,Podesavanja!$AA$3:$AD$28, 4, 0), 0))</f>
        <v>19107814</v>
      </c>
      <c r="K436" s="230">
        <f ca="1">IF( ISNA( VLOOKUP( APIF_Import!$O436 &amp; APIF_Import!$K$1,Podesavanja!$AA$3:$AD$28, 4, 0)), "", VLOOKUP( APIF_Import!$C436, INDIRECT( "Lookup_" &amp; APIF_Import!$O436), VLOOKUP( APIF_Import!$O436 &amp; APIF_Import!$K$1,Podesavanja!$AA$3:$AD$28, 4, 0), 0))</f>
        <v>85401999</v>
      </c>
      <c r="L436" s="230">
        <f ca="1">IF( ISNA( VLOOKUP( APIF_Import!$O436 &amp; APIF_Import!$L$1,Podesavanja!$AA$3:$AD$28, 4, 0)), "", VLOOKUP( APIF_Import!$C436, INDIRECT( "Lookup_" &amp; APIF_Import!$O436), VLOOKUP( APIF_Import!$O436 &amp; APIF_Import!$L$1,Podesavanja!$AA$3:$AD$28, 4, 0), 0))</f>
        <v>0</v>
      </c>
      <c r="M436" s="230">
        <f ca="1">IF( ISNA( VLOOKUP( APIF_Import!$O436 &amp; APIF_Import!$M$1,Podesavanja!$AA$3:$AD$28, 4, 0)), "", VLOOKUP( APIF_Import!$C436, INDIRECT( "Lookup_" &amp; APIF_Import!$O436), VLOOKUP( APIF_Import!$O436 &amp; APIF_Import!$M$1,Podesavanja!$AA$3:$AD$28, 4, 0), 0))</f>
        <v>85401999</v>
      </c>
      <c r="N436" s="8">
        <v>443</v>
      </c>
      <c r="O436" s="253" t="s">
        <v>1539</v>
      </c>
    </row>
    <row r="437" spans="2:15">
      <c r="B437" s="44">
        <f ca="1">VLOOKUP( APIF_Import!$O437, Podesavanja!$N$3:$Q$9, 4, 0)</f>
        <v>6</v>
      </c>
      <c r="C437" s="229">
        <f ca="1">VLOOKUP( APIF_Import!$N437, Aop!$A$2:$P$456, 4, 0)</f>
        <v>917</v>
      </c>
      <c r="D437" s="230" t="str">
        <f ca="1">IF( ISNA( VLOOKUP( APIF_Import!$O437 &amp; APIF_Import!$D$1,Podesavanja!$AA$3:$AD$28, 4, 0)), "", SUBSTITUTE( VALUE( VLOOKUP( APIF_Import!$C437, INDIRECT( "Lookup_" &amp; APIF_Import!$O437), VLOOKUP( APIF_Import!$O437 &amp; APIF_Import!$D$1,Podesavanja!$AA$3:$AD$28, 4, 0), 0)), ".", ","))</f>
        <v>0</v>
      </c>
      <c r="E437" s="230">
        <f ca="1">IF( ISNA( VLOOKUP( APIF_Import!$O437 &amp; APIF_Import!$E$1,Podesavanja!$AA$3:$AD$28, 4, 0)), "", VLOOKUP( APIF_Import!$C437, INDIRECT( "Lookup_" &amp; APIF_Import!$O437), VLOOKUP( APIF_Import!$O437 &amp; APIF_Import!$E$1,Podesavanja!$AA$3:$AD$28, 4, 0), 0))</f>
        <v>0</v>
      </c>
      <c r="F437" s="230">
        <f ca="1">IF( ISNA( VLOOKUP( APIF_Import!$O437 &amp; APIF_Import!$F$1,Podesavanja!$AA$3:$AD$28, 4, 0)), "", VLOOKUP( APIF_Import!$C437, INDIRECT( "Lookup_" &amp; APIF_Import!$O437), VLOOKUP( APIF_Import!$O437 &amp; APIF_Import!$F$1,Podesavanja!$AA$3:$AD$28, 4, 0), 0))</f>
        <v>0</v>
      </c>
      <c r="G437" s="230">
        <f ca="1">IF( ISNA( VLOOKUP( APIF_Import!$O437 &amp; APIF_Import!$G$1,Podesavanja!$AA$3:$AD$28, 4, 0)), "", VLOOKUP( APIF_Import!$C437, INDIRECT( "Lookup_" &amp; APIF_Import!$O437), VLOOKUP( APIF_Import!$O437 &amp; APIF_Import!$G$1,Podesavanja!$AA$3:$AD$28, 4, 0), 0))</f>
        <v>0</v>
      </c>
      <c r="H437" s="230">
        <f ca="1">IF( ISNA( VLOOKUP( APIF_Import!$O437 &amp; APIF_Import!$H$1,Podesavanja!$AA$3:$AD$28, 4, 0)), "", VLOOKUP( APIF_Import!$C437, INDIRECT( "Lookup_" &amp; APIF_Import!$O437), VLOOKUP( APIF_Import!$O437 &amp; APIF_Import!$H$1,Podesavanja!$AA$3:$AD$28, 4, 0), 0))</f>
        <v>0</v>
      </c>
      <c r="I437" s="230">
        <f ca="1">IF( ISNA( VLOOKUP( APIF_Import!$O437 &amp; APIF_Import!$I$1,Podesavanja!$AA$3:$AD$28, 4, 0)), "", VLOOKUP( APIF_Import!$C437, INDIRECT( "Lookup_" &amp; APIF_Import!$O437), VLOOKUP( APIF_Import!$O437 &amp; APIF_Import!$I$1,Podesavanja!$AA$3:$AD$28, 4, 0), 0))</f>
        <v>0</v>
      </c>
      <c r="J437" s="230">
        <f ca="1">IF( ISNA( VLOOKUP( APIF_Import!$O437 &amp; APIF_Import!$J$1,Podesavanja!$AA$3:$AD$28, 4, 0)), "", VLOOKUP( APIF_Import!$C437, INDIRECT( "Lookup_" &amp; APIF_Import!$O437), VLOOKUP( APIF_Import!$O437 &amp; APIF_Import!$J$1,Podesavanja!$AA$3:$AD$28, 4, 0), 0))</f>
        <v>16300914</v>
      </c>
      <c r="K437" s="230">
        <f ca="1">IF( ISNA( VLOOKUP( APIF_Import!$O437 &amp; APIF_Import!$K$1,Podesavanja!$AA$3:$AD$28, 4, 0)), "", VLOOKUP( APIF_Import!$C437, INDIRECT( "Lookup_" &amp; APIF_Import!$O437), VLOOKUP( APIF_Import!$O437 &amp; APIF_Import!$K$1,Podesavanja!$AA$3:$AD$28, 4, 0), 0))</f>
        <v>16300914</v>
      </c>
      <c r="L437" s="230">
        <f ca="1">IF( ISNA( VLOOKUP( APIF_Import!$O437 &amp; APIF_Import!$L$1,Podesavanja!$AA$3:$AD$28, 4, 0)), "", VLOOKUP( APIF_Import!$C437, INDIRECT( "Lookup_" &amp; APIF_Import!$O437), VLOOKUP( APIF_Import!$O437 &amp; APIF_Import!$L$1,Podesavanja!$AA$3:$AD$28, 4, 0), 0))</f>
        <v>0</v>
      </c>
      <c r="M437" s="230">
        <f ca="1">IF( ISNA( VLOOKUP( APIF_Import!$O437 &amp; APIF_Import!$M$1,Podesavanja!$AA$3:$AD$28, 4, 0)), "", VLOOKUP( APIF_Import!$C437, INDIRECT( "Lookup_" &amp; APIF_Import!$O437), VLOOKUP( APIF_Import!$O437 &amp; APIF_Import!$M$1,Podesavanja!$AA$3:$AD$28, 4, 0), 0))</f>
        <v>16300914</v>
      </c>
      <c r="N437" s="8">
        <v>445</v>
      </c>
      <c r="O437" s="253" t="s">
        <v>1539</v>
      </c>
    </row>
    <row r="438" spans="2:15">
      <c r="B438" s="44">
        <f ca="1">VLOOKUP( APIF_Import!$O438, Podesavanja!$N$3:$Q$9, 4, 0)</f>
        <v>6</v>
      </c>
      <c r="C438" s="229">
        <f ca="1">VLOOKUP( APIF_Import!$N438, Aop!$A$2:$P$456, 4, 0)</f>
        <v>918</v>
      </c>
      <c r="D438" s="230" t="str">
        <f ca="1">IF( ISNA( VLOOKUP( APIF_Import!$O438 &amp; APIF_Import!$D$1,Podesavanja!$AA$3:$AD$28, 4, 0)), "", SUBSTITUTE( VALUE( VLOOKUP( APIF_Import!$C438, INDIRECT( "Lookup_" &amp; APIF_Import!$O438), VLOOKUP( APIF_Import!$O438 &amp; APIF_Import!$D$1,Podesavanja!$AA$3:$AD$28, 4, 0), 0)), ".", ","))</f>
        <v>0</v>
      </c>
      <c r="E438" s="230">
        <f ca="1">IF( ISNA( VLOOKUP( APIF_Import!$O438 &amp; APIF_Import!$E$1,Podesavanja!$AA$3:$AD$28, 4, 0)), "", VLOOKUP( APIF_Import!$C438, INDIRECT( "Lookup_" &amp; APIF_Import!$O438), VLOOKUP( APIF_Import!$O438 &amp; APIF_Import!$E$1,Podesavanja!$AA$3:$AD$28, 4, 0), 0))</f>
        <v>0</v>
      </c>
      <c r="F438" s="230">
        <f ca="1">IF( ISNA( VLOOKUP( APIF_Import!$O438 &amp; APIF_Import!$F$1,Podesavanja!$AA$3:$AD$28, 4, 0)), "", VLOOKUP( APIF_Import!$C438, INDIRECT( "Lookup_" &amp; APIF_Import!$O438), VLOOKUP( APIF_Import!$O438 &amp; APIF_Import!$F$1,Podesavanja!$AA$3:$AD$28, 4, 0), 0))</f>
        <v>0</v>
      </c>
      <c r="G438" s="230">
        <f ca="1">IF( ISNA( VLOOKUP( APIF_Import!$O438 &amp; APIF_Import!$G$1,Podesavanja!$AA$3:$AD$28, 4, 0)), "", VLOOKUP( APIF_Import!$C438, INDIRECT( "Lookup_" &amp; APIF_Import!$O438), VLOOKUP( APIF_Import!$O438 &amp; APIF_Import!$G$1,Podesavanja!$AA$3:$AD$28, 4, 0), 0))</f>
        <v>0</v>
      </c>
      <c r="H438" s="230">
        <f ca="1">IF( ISNA( VLOOKUP( APIF_Import!$O438 &amp; APIF_Import!$H$1,Podesavanja!$AA$3:$AD$28, 4, 0)), "", VLOOKUP( APIF_Import!$C438, INDIRECT( "Lookup_" &amp; APIF_Import!$O438), VLOOKUP( APIF_Import!$O438 &amp; APIF_Import!$H$1,Podesavanja!$AA$3:$AD$28, 4, 0), 0))</f>
        <v>0</v>
      </c>
      <c r="I438" s="230">
        <f ca="1">IF( ISNA( VLOOKUP( APIF_Import!$O438 &amp; APIF_Import!$I$1,Podesavanja!$AA$3:$AD$28, 4, 0)), "", VLOOKUP( APIF_Import!$C438, INDIRECT( "Lookup_" &amp; APIF_Import!$O438), VLOOKUP( APIF_Import!$O438 &amp; APIF_Import!$I$1,Podesavanja!$AA$3:$AD$28, 4, 0), 0))</f>
        <v>0</v>
      </c>
      <c r="J438" s="230">
        <f ca="1">IF( ISNA( VLOOKUP( APIF_Import!$O438 &amp; APIF_Import!$J$1,Podesavanja!$AA$3:$AD$28, 4, 0)), "", VLOOKUP( APIF_Import!$C438, INDIRECT( "Lookup_" &amp; APIF_Import!$O438), VLOOKUP( APIF_Import!$O438 &amp; APIF_Import!$J$1,Podesavanja!$AA$3:$AD$28, 4, 0), 0))</f>
        <v>0</v>
      </c>
      <c r="K438" s="230">
        <f ca="1">IF( ISNA( VLOOKUP( APIF_Import!$O438 &amp; APIF_Import!$K$1,Podesavanja!$AA$3:$AD$28, 4, 0)), "", VLOOKUP( APIF_Import!$C438, INDIRECT( "Lookup_" &amp; APIF_Import!$O438), VLOOKUP( APIF_Import!$O438 &amp; APIF_Import!$K$1,Podesavanja!$AA$3:$AD$28, 4, 0), 0))</f>
        <v>0</v>
      </c>
      <c r="L438" s="230">
        <f ca="1">IF( ISNA( VLOOKUP( APIF_Import!$O438 &amp; APIF_Import!$L$1,Podesavanja!$AA$3:$AD$28, 4, 0)), "", VLOOKUP( APIF_Import!$C438, INDIRECT( "Lookup_" &amp; APIF_Import!$O438), VLOOKUP( APIF_Import!$O438 &amp; APIF_Import!$L$1,Podesavanja!$AA$3:$AD$28, 4, 0), 0))</f>
        <v>0</v>
      </c>
      <c r="M438" s="230">
        <f ca="1">IF( ISNA( VLOOKUP( APIF_Import!$O438 &amp; APIF_Import!$M$1,Podesavanja!$AA$3:$AD$28, 4, 0)), "", VLOOKUP( APIF_Import!$C438, INDIRECT( "Lookup_" &amp; APIF_Import!$O438), VLOOKUP( APIF_Import!$O438 &amp; APIF_Import!$M$1,Podesavanja!$AA$3:$AD$28, 4, 0), 0))</f>
        <v>0</v>
      </c>
      <c r="N438" s="8">
        <v>446</v>
      </c>
      <c r="O438" s="253" t="s">
        <v>1539</v>
      </c>
    </row>
    <row r="439" spans="2:15">
      <c r="B439" s="44">
        <f ca="1">VLOOKUP( APIF_Import!$O439, Podesavanja!$N$3:$Q$9, 4, 0)</f>
        <v>6</v>
      </c>
      <c r="C439" s="229">
        <f ca="1">VLOOKUP( APIF_Import!$N439, Aop!$A$2:$P$456, 4, 0)</f>
        <v>919</v>
      </c>
      <c r="D439" s="230" t="str">
        <f ca="1">IF( ISNA( VLOOKUP( APIF_Import!$O439 &amp; APIF_Import!$D$1,Podesavanja!$AA$3:$AD$28, 4, 0)), "", SUBSTITUTE( VALUE( VLOOKUP( APIF_Import!$C439, INDIRECT( "Lookup_" &amp; APIF_Import!$O439), VLOOKUP( APIF_Import!$O439 &amp; APIF_Import!$D$1,Podesavanja!$AA$3:$AD$28, 4, 0), 0)), ".", ","))</f>
        <v>0</v>
      </c>
      <c r="E439" s="230">
        <f ca="1">IF( ISNA( VLOOKUP( APIF_Import!$O439 &amp; APIF_Import!$E$1,Podesavanja!$AA$3:$AD$28, 4, 0)), "", VLOOKUP( APIF_Import!$C439, INDIRECT( "Lookup_" &amp; APIF_Import!$O439), VLOOKUP( APIF_Import!$O439 &amp; APIF_Import!$E$1,Podesavanja!$AA$3:$AD$28, 4, 0), 0))</f>
        <v>0</v>
      </c>
      <c r="F439" s="230">
        <f ca="1">IF( ISNA( VLOOKUP( APIF_Import!$O439 &amp; APIF_Import!$F$1,Podesavanja!$AA$3:$AD$28, 4, 0)), "", VLOOKUP( APIF_Import!$C439, INDIRECT( "Lookup_" &amp; APIF_Import!$O439), VLOOKUP( APIF_Import!$O439 &amp; APIF_Import!$F$1,Podesavanja!$AA$3:$AD$28, 4, 0), 0))</f>
        <v>0</v>
      </c>
      <c r="G439" s="230">
        <f ca="1">IF( ISNA( VLOOKUP( APIF_Import!$O439 &amp; APIF_Import!$G$1,Podesavanja!$AA$3:$AD$28, 4, 0)), "", VLOOKUP( APIF_Import!$C439, INDIRECT( "Lookup_" &amp; APIF_Import!$O439), VLOOKUP( APIF_Import!$O439 &amp; APIF_Import!$G$1,Podesavanja!$AA$3:$AD$28, 4, 0), 0))</f>
        <v>0</v>
      </c>
      <c r="H439" s="230">
        <f ca="1">IF( ISNA( VLOOKUP( APIF_Import!$O439 &amp; APIF_Import!$H$1,Podesavanja!$AA$3:$AD$28, 4, 0)), "", VLOOKUP( APIF_Import!$C439, INDIRECT( "Lookup_" &amp; APIF_Import!$O439), VLOOKUP( APIF_Import!$O439 &amp; APIF_Import!$H$1,Podesavanja!$AA$3:$AD$28, 4, 0), 0))</f>
        <v>0</v>
      </c>
      <c r="I439" s="230">
        <f ca="1">IF( ISNA( VLOOKUP( APIF_Import!$O439 &amp; APIF_Import!$I$1,Podesavanja!$AA$3:$AD$28, 4, 0)), "", VLOOKUP( APIF_Import!$C439, INDIRECT( "Lookup_" &amp; APIF_Import!$O439), VLOOKUP( APIF_Import!$O439 &amp; APIF_Import!$I$1,Podesavanja!$AA$3:$AD$28, 4, 0), 0))</f>
        <v>0</v>
      </c>
      <c r="J439" s="230">
        <f ca="1">IF( ISNA( VLOOKUP( APIF_Import!$O439 &amp; APIF_Import!$J$1,Podesavanja!$AA$3:$AD$28, 4, 0)), "", VLOOKUP( APIF_Import!$C439, INDIRECT( "Lookup_" &amp; APIF_Import!$O439), VLOOKUP( APIF_Import!$O439 &amp; APIF_Import!$J$1,Podesavanja!$AA$3:$AD$28, 4, 0), 0))</f>
        <v>16300914</v>
      </c>
      <c r="K439" s="230">
        <f ca="1">IF( ISNA( VLOOKUP( APIF_Import!$O439 &amp; APIF_Import!$K$1,Podesavanja!$AA$3:$AD$28, 4, 0)), "", VLOOKUP( APIF_Import!$C439, INDIRECT( "Lookup_" &amp; APIF_Import!$O439), VLOOKUP( APIF_Import!$O439 &amp; APIF_Import!$K$1,Podesavanja!$AA$3:$AD$28, 4, 0), 0))</f>
        <v>16300914</v>
      </c>
      <c r="L439" s="230">
        <f ca="1">IF( ISNA( VLOOKUP( APIF_Import!$O439 &amp; APIF_Import!$L$1,Podesavanja!$AA$3:$AD$28, 4, 0)), "", VLOOKUP( APIF_Import!$C439, INDIRECT( "Lookup_" &amp; APIF_Import!$O439), VLOOKUP( APIF_Import!$O439 &amp; APIF_Import!$L$1,Podesavanja!$AA$3:$AD$28, 4, 0), 0))</f>
        <v>0</v>
      </c>
      <c r="M439" s="230">
        <f ca="1">IF( ISNA( VLOOKUP( APIF_Import!$O439 &amp; APIF_Import!$M$1,Podesavanja!$AA$3:$AD$28, 4, 0)), "", VLOOKUP( APIF_Import!$C439, INDIRECT( "Lookup_" &amp; APIF_Import!$O439), VLOOKUP( APIF_Import!$O439 &amp; APIF_Import!$M$1,Podesavanja!$AA$3:$AD$28, 4, 0), 0))</f>
        <v>16300914</v>
      </c>
      <c r="N439" s="8">
        <v>447</v>
      </c>
      <c r="O439" s="253" t="s">
        <v>1539</v>
      </c>
    </row>
    <row r="440" spans="2:15">
      <c r="B440" s="44">
        <f ca="1">VLOOKUP( APIF_Import!$O440, Podesavanja!$N$3:$Q$9, 4, 0)</f>
        <v>6</v>
      </c>
      <c r="C440" s="229">
        <f ca="1">VLOOKUP( APIF_Import!$N440, Aop!$A$2:$P$456, 4, 0)</f>
        <v>920</v>
      </c>
      <c r="D440" s="230" t="str">
        <f ca="1">IF( ISNA( VLOOKUP( APIF_Import!$O440 &amp; APIF_Import!$D$1,Podesavanja!$AA$3:$AD$28, 4, 0)), "", SUBSTITUTE( VALUE( VLOOKUP( APIF_Import!$C440, INDIRECT( "Lookup_" &amp; APIF_Import!$O440), VLOOKUP( APIF_Import!$O440 &amp; APIF_Import!$D$1,Podesavanja!$AA$3:$AD$28, 4, 0), 0)), ".", ","))</f>
        <v>0</v>
      </c>
      <c r="E440" s="230">
        <f ca="1">IF( ISNA( VLOOKUP( APIF_Import!$O440 &amp; APIF_Import!$E$1,Podesavanja!$AA$3:$AD$28, 4, 0)), "", VLOOKUP( APIF_Import!$C440, INDIRECT( "Lookup_" &amp; APIF_Import!$O440), VLOOKUP( APIF_Import!$O440 &amp; APIF_Import!$E$1,Podesavanja!$AA$3:$AD$28, 4, 0), 0))</f>
        <v>0</v>
      </c>
      <c r="F440" s="230">
        <f ca="1">IF( ISNA( VLOOKUP( APIF_Import!$O440 &amp; APIF_Import!$F$1,Podesavanja!$AA$3:$AD$28, 4, 0)), "", VLOOKUP( APIF_Import!$C440, INDIRECT( "Lookup_" &amp; APIF_Import!$O440), VLOOKUP( APIF_Import!$O440 &amp; APIF_Import!$F$1,Podesavanja!$AA$3:$AD$28, 4, 0), 0))</f>
        <v>0</v>
      </c>
      <c r="G440" s="230">
        <f ca="1">IF( ISNA( VLOOKUP( APIF_Import!$O440 &amp; APIF_Import!$G$1,Podesavanja!$AA$3:$AD$28, 4, 0)), "", VLOOKUP( APIF_Import!$C440, INDIRECT( "Lookup_" &amp; APIF_Import!$O440), VLOOKUP( APIF_Import!$O440 &amp; APIF_Import!$G$1,Podesavanja!$AA$3:$AD$28, 4, 0), 0))</f>
        <v>0</v>
      </c>
      <c r="H440" s="230">
        <f ca="1">IF( ISNA( VLOOKUP( APIF_Import!$O440 &amp; APIF_Import!$H$1,Podesavanja!$AA$3:$AD$28, 4, 0)), "", VLOOKUP( APIF_Import!$C440, INDIRECT( "Lookup_" &amp; APIF_Import!$O440), VLOOKUP( APIF_Import!$O440 &amp; APIF_Import!$H$1,Podesavanja!$AA$3:$AD$28, 4, 0), 0))</f>
        <v>0</v>
      </c>
      <c r="I440" s="230">
        <f ca="1">IF( ISNA( VLOOKUP( APIF_Import!$O440 &amp; APIF_Import!$I$1,Podesavanja!$AA$3:$AD$28, 4, 0)), "", VLOOKUP( APIF_Import!$C440, INDIRECT( "Lookup_" &amp; APIF_Import!$O440), VLOOKUP( APIF_Import!$O440 &amp; APIF_Import!$I$1,Podesavanja!$AA$3:$AD$28, 4, 0), 0))</f>
        <v>0</v>
      </c>
      <c r="J440" s="230">
        <f ca="1">IF( ISNA( VLOOKUP( APIF_Import!$O440 &amp; APIF_Import!$J$1,Podesavanja!$AA$3:$AD$28, 4, 0)), "", VLOOKUP( APIF_Import!$C440, INDIRECT( "Lookup_" &amp; APIF_Import!$O440), VLOOKUP( APIF_Import!$O440 &amp; APIF_Import!$J$1,Podesavanja!$AA$3:$AD$28, 4, 0), 0))</f>
        <v>0</v>
      </c>
      <c r="K440" s="230">
        <f ca="1">IF( ISNA( VLOOKUP( APIF_Import!$O440 &amp; APIF_Import!$K$1,Podesavanja!$AA$3:$AD$28, 4, 0)), "", VLOOKUP( APIF_Import!$C440, INDIRECT( "Lookup_" &amp; APIF_Import!$O440), VLOOKUP( APIF_Import!$O440 &amp; APIF_Import!$K$1,Podesavanja!$AA$3:$AD$28, 4, 0), 0))</f>
        <v>0</v>
      </c>
      <c r="L440" s="230">
        <f ca="1">IF( ISNA( VLOOKUP( APIF_Import!$O440 &amp; APIF_Import!$L$1,Podesavanja!$AA$3:$AD$28, 4, 0)), "", VLOOKUP( APIF_Import!$C440, INDIRECT( "Lookup_" &amp; APIF_Import!$O440), VLOOKUP( APIF_Import!$O440 &amp; APIF_Import!$L$1,Podesavanja!$AA$3:$AD$28, 4, 0), 0))</f>
        <v>0</v>
      </c>
      <c r="M440" s="230">
        <f ca="1">IF( ISNA( VLOOKUP( APIF_Import!$O440 &amp; APIF_Import!$M$1,Podesavanja!$AA$3:$AD$28, 4, 0)), "", VLOOKUP( APIF_Import!$C440, INDIRECT( "Lookup_" &amp; APIF_Import!$O440), VLOOKUP( APIF_Import!$O440 &amp; APIF_Import!$M$1,Podesavanja!$AA$3:$AD$28, 4, 0), 0))</f>
        <v>0</v>
      </c>
      <c r="N440" s="8">
        <v>449</v>
      </c>
      <c r="O440" s="253" t="s">
        <v>1539</v>
      </c>
    </row>
    <row r="441" spans="2:15">
      <c r="B441" s="44">
        <f ca="1">VLOOKUP( APIF_Import!$O441, Podesavanja!$N$3:$Q$9, 4, 0)</f>
        <v>6</v>
      </c>
      <c r="C441" s="229">
        <f ca="1">VLOOKUP( APIF_Import!$N441, Aop!$A$2:$P$456, 4, 0)</f>
        <v>921</v>
      </c>
      <c r="D441" s="230" t="str">
        <f ca="1">IF( ISNA( VLOOKUP( APIF_Import!$O441 &amp; APIF_Import!$D$1,Podesavanja!$AA$3:$AD$28, 4, 0)), "", SUBSTITUTE( VALUE( VLOOKUP( APIF_Import!$C441, INDIRECT( "Lookup_" &amp; APIF_Import!$O441), VLOOKUP( APIF_Import!$O441 &amp; APIF_Import!$D$1,Podesavanja!$AA$3:$AD$28, 4, 0), 0)), ".", ","))</f>
        <v>0</v>
      </c>
      <c r="E441" s="230">
        <f ca="1">IF( ISNA( VLOOKUP( APIF_Import!$O441 &amp; APIF_Import!$E$1,Podesavanja!$AA$3:$AD$28, 4, 0)), "", VLOOKUP( APIF_Import!$C441, INDIRECT( "Lookup_" &amp; APIF_Import!$O441), VLOOKUP( APIF_Import!$O441 &amp; APIF_Import!$E$1,Podesavanja!$AA$3:$AD$28, 4, 0), 0))</f>
        <v>0</v>
      </c>
      <c r="F441" s="230">
        <f ca="1">IF( ISNA( VLOOKUP( APIF_Import!$O441 &amp; APIF_Import!$F$1,Podesavanja!$AA$3:$AD$28, 4, 0)), "", VLOOKUP( APIF_Import!$C441, INDIRECT( "Lookup_" &amp; APIF_Import!$O441), VLOOKUP( APIF_Import!$O441 &amp; APIF_Import!$F$1,Podesavanja!$AA$3:$AD$28, 4, 0), 0))</f>
        <v>0</v>
      </c>
      <c r="G441" s="230">
        <f ca="1">IF( ISNA( VLOOKUP( APIF_Import!$O441 &amp; APIF_Import!$G$1,Podesavanja!$AA$3:$AD$28, 4, 0)), "", VLOOKUP( APIF_Import!$C441, INDIRECT( "Lookup_" &amp; APIF_Import!$O441), VLOOKUP( APIF_Import!$O441 &amp; APIF_Import!$G$1,Podesavanja!$AA$3:$AD$28, 4, 0), 0))</f>
        <v>0</v>
      </c>
      <c r="H441" s="230">
        <f ca="1">IF( ISNA( VLOOKUP( APIF_Import!$O441 &amp; APIF_Import!$H$1,Podesavanja!$AA$3:$AD$28, 4, 0)), "", VLOOKUP( APIF_Import!$C441, INDIRECT( "Lookup_" &amp; APIF_Import!$O441), VLOOKUP( APIF_Import!$O441 &amp; APIF_Import!$H$1,Podesavanja!$AA$3:$AD$28, 4, 0), 0))</f>
        <v>0</v>
      </c>
      <c r="I441" s="230">
        <f ca="1">IF( ISNA( VLOOKUP( APIF_Import!$O441 &amp; APIF_Import!$I$1,Podesavanja!$AA$3:$AD$28, 4, 0)), "", VLOOKUP( APIF_Import!$C441, INDIRECT( "Lookup_" &amp; APIF_Import!$O441), VLOOKUP( APIF_Import!$O441 &amp; APIF_Import!$I$1,Podesavanja!$AA$3:$AD$28, 4, 0), 0))</f>
        <v>0</v>
      </c>
      <c r="J441" s="230">
        <f ca="1">IF( ISNA( VLOOKUP( APIF_Import!$O441 &amp; APIF_Import!$J$1,Podesavanja!$AA$3:$AD$28, 4, 0)), "", VLOOKUP( APIF_Import!$C441, INDIRECT( "Lookup_" &amp; APIF_Import!$O441), VLOOKUP( APIF_Import!$O441 &amp; APIF_Import!$J$1,Podesavanja!$AA$3:$AD$28, 4, 0), 0))</f>
        <v>0</v>
      </c>
      <c r="K441" s="230">
        <f ca="1">IF( ISNA( VLOOKUP( APIF_Import!$O441 &amp; APIF_Import!$K$1,Podesavanja!$AA$3:$AD$28, 4, 0)), "", VLOOKUP( APIF_Import!$C441, INDIRECT( "Lookup_" &amp; APIF_Import!$O441), VLOOKUP( APIF_Import!$O441 &amp; APIF_Import!$K$1,Podesavanja!$AA$3:$AD$28, 4, 0), 0))</f>
        <v>0</v>
      </c>
      <c r="L441" s="230">
        <f ca="1">IF( ISNA( VLOOKUP( APIF_Import!$O441 &amp; APIF_Import!$L$1,Podesavanja!$AA$3:$AD$28, 4, 0)), "", VLOOKUP( APIF_Import!$C441, INDIRECT( "Lookup_" &amp; APIF_Import!$O441), VLOOKUP( APIF_Import!$O441 &amp; APIF_Import!$L$1,Podesavanja!$AA$3:$AD$28, 4, 0), 0))</f>
        <v>0</v>
      </c>
      <c r="M441" s="230">
        <f ca="1">IF( ISNA( VLOOKUP( APIF_Import!$O441 &amp; APIF_Import!$M$1,Podesavanja!$AA$3:$AD$28, 4, 0)), "", VLOOKUP( APIF_Import!$C441, INDIRECT( "Lookup_" &amp; APIF_Import!$O441), VLOOKUP( APIF_Import!$O441 &amp; APIF_Import!$M$1,Podesavanja!$AA$3:$AD$28, 4, 0), 0))</f>
        <v>0</v>
      </c>
      <c r="N441" s="8">
        <v>450</v>
      </c>
      <c r="O441" s="253" t="s">
        <v>1539</v>
      </c>
    </row>
    <row r="442" spans="2:15">
      <c r="B442" s="44">
        <f ca="1">VLOOKUP( APIF_Import!$O442, Podesavanja!$N$3:$Q$9, 4, 0)</f>
        <v>6</v>
      </c>
      <c r="C442" s="229">
        <f ca="1">VLOOKUP( APIF_Import!$N442, Aop!$A$2:$P$456, 4, 0)</f>
        <v>922</v>
      </c>
      <c r="D442" s="230" t="str">
        <f ca="1">IF( ISNA( VLOOKUP( APIF_Import!$O442 &amp; APIF_Import!$D$1,Podesavanja!$AA$3:$AD$28, 4, 0)), "", SUBSTITUTE( VALUE( VLOOKUP( APIF_Import!$C442, INDIRECT( "Lookup_" &amp; APIF_Import!$O442), VLOOKUP( APIF_Import!$O442 &amp; APIF_Import!$D$1,Podesavanja!$AA$3:$AD$28, 4, 0), 0)), ".", ","))</f>
        <v>0</v>
      </c>
      <c r="E442" s="230">
        <f ca="1">IF( ISNA( VLOOKUP( APIF_Import!$O442 &amp; APIF_Import!$E$1,Podesavanja!$AA$3:$AD$28, 4, 0)), "", VLOOKUP( APIF_Import!$C442, INDIRECT( "Lookup_" &amp; APIF_Import!$O442), VLOOKUP( APIF_Import!$O442 &amp; APIF_Import!$E$1,Podesavanja!$AA$3:$AD$28, 4, 0), 0))</f>
        <v>0</v>
      </c>
      <c r="F442" s="230">
        <f ca="1">IF( ISNA( VLOOKUP( APIF_Import!$O442 &amp; APIF_Import!$F$1,Podesavanja!$AA$3:$AD$28, 4, 0)), "", VLOOKUP( APIF_Import!$C442, INDIRECT( "Lookup_" &amp; APIF_Import!$O442), VLOOKUP( APIF_Import!$O442 &amp; APIF_Import!$F$1,Podesavanja!$AA$3:$AD$28, 4, 0), 0))</f>
        <v>0</v>
      </c>
      <c r="G442" s="230">
        <f ca="1">IF( ISNA( VLOOKUP( APIF_Import!$O442 &amp; APIF_Import!$G$1,Podesavanja!$AA$3:$AD$28, 4, 0)), "", VLOOKUP( APIF_Import!$C442, INDIRECT( "Lookup_" &amp; APIF_Import!$O442), VLOOKUP( APIF_Import!$O442 &amp; APIF_Import!$G$1,Podesavanja!$AA$3:$AD$28, 4, 0), 0))</f>
        <v>0</v>
      </c>
      <c r="H442" s="230">
        <f ca="1">IF( ISNA( VLOOKUP( APIF_Import!$O442 &amp; APIF_Import!$H$1,Podesavanja!$AA$3:$AD$28, 4, 0)), "", VLOOKUP( APIF_Import!$C442, INDIRECT( "Lookup_" &amp; APIF_Import!$O442), VLOOKUP( APIF_Import!$O442 &amp; APIF_Import!$H$1,Podesavanja!$AA$3:$AD$28, 4, 0), 0))</f>
        <v>0</v>
      </c>
      <c r="I442" s="230">
        <f ca="1">IF( ISNA( VLOOKUP( APIF_Import!$O442 &amp; APIF_Import!$I$1,Podesavanja!$AA$3:$AD$28, 4, 0)), "", VLOOKUP( APIF_Import!$C442, INDIRECT( "Lookup_" &amp; APIF_Import!$O442), VLOOKUP( APIF_Import!$O442 &amp; APIF_Import!$I$1,Podesavanja!$AA$3:$AD$28, 4, 0), 0))</f>
        <v>0</v>
      </c>
      <c r="J442" s="230">
        <f ca="1">IF( ISNA( VLOOKUP( APIF_Import!$O442 &amp; APIF_Import!$J$1,Podesavanja!$AA$3:$AD$28, 4, 0)), "", VLOOKUP( APIF_Import!$C442, INDIRECT( "Lookup_" &amp; APIF_Import!$O442), VLOOKUP( APIF_Import!$O442 &amp; APIF_Import!$J$1,Podesavanja!$AA$3:$AD$28, 4, 0), 0))</f>
        <v>16552030</v>
      </c>
      <c r="K442" s="230">
        <f ca="1">IF( ISNA( VLOOKUP( APIF_Import!$O442 &amp; APIF_Import!$K$1,Podesavanja!$AA$3:$AD$28, 4, 0)), "", VLOOKUP( APIF_Import!$C442, INDIRECT( "Lookup_" &amp; APIF_Import!$O442), VLOOKUP( APIF_Import!$O442 &amp; APIF_Import!$K$1,Podesavanja!$AA$3:$AD$28, 4, 0), 0))</f>
        <v>16552030</v>
      </c>
      <c r="L442" s="230">
        <f ca="1">IF( ISNA( VLOOKUP( APIF_Import!$O442 &amp; APIF_Import!$L$1,Podesavanja!$AA$3:$AD$28, 4, 0)), "", VLOOKUP( APIF_Import!$C442, INDIRECT( "Lookup_" &amp; APIF_Import!$O442), VLOOKUP( APIF_Import!$O442 &amp; APIF_Import!$L$1,Podesavanja!$AA$3:$AD$28, 4, 0), 0))</f>
        <v>0</v>
      </c>
      <c r="M442" s="230">
        <f ca="1">IF( ISNA( VLOOKUP( APIF_Import!$O442 &amp; APIF_Import!$M$1,Podesavanja!$AA$3:$AD$28, 4, 0)), "", VLOOKUP( APIF_Import!$C442, INDIRECT( "Lookup_" &amp; APIF_Import!$O442), VLOOKUP( APIF_Import!$O442 &amp; APIF_Import!$M$1,Podesavanja!$AA$3:$AD$28, 4, 0), 0))</f>
        <v>16552030</v>
      </c>
      <c r="N442" s="8">
        <v>451</v>
      </c>
      <c r="O442" s="253" t="s">
        <v>1539</v>
      </c>
    </row>
    <row r="443" spans="2:15">
      <c r="B443" s="44">
        <f ca="1">VLOOKUP( APIF_Import!$O443, Podesavanja!$N$3:$Q$9, 4, 0)</f>
        <v>6</v>
      </c>
      <c r="C443" s="229">
        <f ca="1">VLOOKUP( APIF_Import!$N443, Aop!$A$2:$P$456, 4, 0)</f>
        <v>923</v>
      </c>
      <c r="D443" s="230" t="str">
        <f ca="1">IF( ISNA( VLOOKUP( APIF_Import!$O443 &amp; APIF_Import!$D$1,Podesavanja!$AA$3:$AD$28, 4, 0)), "", SUBSTITUTE( VALUE( VLOOKUP( APIF_Import!$C443, INDIRECT( "Lookup_" &amp; APIF_Import!$O443), VLOOKUP( APIF_Import!$O443 &amp; APIF_Import!$D$1,Podesavanja!$AA$3:$AD$28, 4, 0), 0)), ".", ","))</f>
        <v>0</v>
      </c>
      <c r="E443" s="230">
        <f ca="1">IF( ISNA( VLOOKUP( APIF_Import!$O443 &amp; APIF_Import!$E$1,Podesavanja!$AA$3:$AD$28, 4, 0)), "", VLOOKUP( APIF_Import!$C443, INDIRECT( "Lookup_" &amp; APIF_Import!$O443), VLOOKUP( APIF_Import!$O443 &amp; APIF_Import!$E$1,Podesavanja!$AA$3:$AD$28, 4, 0), 0))</f>
        <v>0</v>
      </c>
      <c r="F443" s="230">
        <f ca="1">IF( ISNA( VLOOKUP( APIF_Import!$O443 &amp; APIF_Import!$F$1,Podesavanja!$AA$3:$AD$28, 4, 0)), "", VLOOKUP( APIF_Import!$C443, INDIRECT( "Lookup_" &amp; APIF_Import!$O443), VLOOKUP( APIF_Import!$O443 &amp; APIF_Import!$F$1,Podesavanja!$AA$3:$AD$28, 4, 0), 0))</f>
        <v>0</v>
      </c>
      <c r="G443" s="230">
        <f ca="1">IF( ISNA( VLOOKUP( APIF_Import!$O443 &amp; APIF_Import!$G$1,Podesavanja!$AA$3:$AD$28, 4, 0)), "", VLOOKUP( APIF_Import!$C443, INDIRECT( "Lookup_" &amp; APIF_Import!$O443), VLOOKUP( APIF_Import!$O443 &amp; APIF_Import!$G$1,Podesavanja!$AA$3:$AD$28, 4, 0), 0))</f>
        <v>0</v>
      </c>
      <c r="H443" s="230">
        <f ca="1">IF( ISNA( VLOOKUP( APIF_Import!$O443 &amp; APIF_Import!$H$1,Podesavanja!$AA$3:$AD$28, 4, 0)), "", VLOOKUP( APIF_Import!$C443, INDIRECT( "Lookup_" &amp; APIF_Import!$O443), VLOOKUP( APIF_Import!$O443 &amp; APIF_Import!$H$1,Podesavanja!$AA$3:$AD$28, 4, 0), 0))</f>
        <v>0</v>
      </c>
      <c r="I443" s="230">
        <f ca="1">IF( ISNA( VLOOKUP( APIF_Import!$O443 &amp; APIF_Import!$I$1,Podesavanja!$AA$3:$AD$28, 4, 0)), "", VLOOKUP( APIF_Import!$C443, INDIRECT( "Lookup_" &amp; APIF_Import!$O443), VLOOKUP( APIF_Import!$O443 &amp; APIF_Import!$I$1,Podesavanja!$AA$3:$AD$28, 4, 0), 0))</f>
        <v>-14556998</v>
      </c>
      <c r="J443" s="230">
        <f ca="1">IF( ISNA( VLOOKUP( APIF_Import!$O443 &amp; APIF_Import!$J$1,Podesavanja!$AA$3:$AD$28, 4, 0)), "", VLOOKUP( APIF_Import!$C443, INDIRECT( "Lookup_" &amp; APIF_Import!$O443), VLOOKUP( APIF_Import!$O443 &amp; APIF_Import!$J$1,Podesavanja!$AA$3:$AD$28, 4, 0), 0))</f>
        <v>0</v>
      </c>
      <c r="K443" s="230">
        <f ca="1">IF( ISNA( VLOOKUP( APIF_Import!$O443 &amp; APIF_Import!$K$1,Podesavanja!$AA$3:$AD$28, 4, 0)), "", VLOOKUP( APIF_Import!$C443, INDIRECT( "Lookup_" &amp; APIF_Import!$O443), VLOOKUP( APIF_Import!$O443 &amp; APIF_Import!$K$1,Podesavanja!$AA$3:$AD$28, 4, 0), 0))</f>
        <v>-14556998</v>
      </c>
      <c r="L443" s="230">
        <f ca="1">IF( ISNA( VLOOKUP( APIF_Import!$O443 &amp; APIF_Import!$L$1,Podesavanja!$AA$3:$AD$28, 4, 0)), "", VLOOKUP( APIF_Import!$C443, INDIRECT( "Lookup_" &amp; APIF_Import!$O443), VLOOKUP( APIF_Import!$O443 &amp; APIF_Import!$L$1,Podesavanja!$AA$3:$AD$28, 4, 0), 0))</f>
        <v>0</v>
      </c>
      <c r="M443" s="230">
        <f ca="1">IF( ISNA( VLOOKUP( APIF_Import!$O443 &amp; APIF_Import!$M$1,Podesavanja!$AA$3:$AD$28, 4, 0)), "", VLOOKUP( APIF_Import!$C443, INDIRECT( "Lookup_" &amp; APIF_Import!$O443), VLOOKUP( APIF_Import!$O443 &amp; APIF_Import!$M$1,Podesavanja!$AA$3:$AD$28, 4, 0), 0))</f>
        <v>-14556998</v>
      </c>
      <c r="N443" s="8">
        <v>452</v>
      </c>
      <c r="O443" s="253" t="s">
        <v>1539</v>
      </c>
    </row>
    <row r="444" spans="2:15">
      <c r="B444" s="44">
        <f ca="1">VLOOKUP( APIF_Import!$O444, Podesavanja!$N$3:$Q$9, 4, 0)</f>
        <v>6</v>
      </c>
      <c r="C444" s="229">
        <f ca="1">VLOOKUP( APIF_Import!$N444, Aop!$A$2:$P$456, 4, 0)</f>
        <v>924</v>
      </c>
      <c r="D444" s="230" t="str">
        <f ca="1">IF( ISNA( VLOOKUP( APIF_Import!$O444 &amp; APIF_Import!$D$1,Podesavanja!$AA$3:$AD$28, 4, 0)), "", SUBSTITUTE( VALUE( VLOOKUP( APIF_Import!$C444, INDIRECT( "Lookup_" &amp; APIF_Import!$O444), VLOOKUP( APIF_Import!$O444 &amp; APIF_Import!$D$1,Podesavanja!$AA$3:$AD$28, 4, 0), 0)), ".", ","))</f>
        <v>0</v>
      </c>
      <c r="E444" s="230">
        <f ca="1">IF( ISNA( VLOOKUP( APIF_Import!$O444 &amp; APIF_Import!$E$1,Podesavanja!$AA$3:$AD$28, 4, 0)), "", VLOOKUP( APIF_Import!$C444, INDIRECT( "Lookup_" &amp; APIF_Import!$O444), VLOOKUP( APIF_Import!$O444 &amp; APIF_Import!$E$1,Podesavanja!$AA$3:$AD$28, 4, 0), 0))</f>
        <v>0</v>
      </c>
      <c r="F444" s="230">
        <f ca="1">IF( ISNA( VLOOKUP( APIF_Import!$O444 &amp; APIF_Import!$F$1,Podesavanja!$AA$3:$AD$28, 4, 0)), "", VLOOKUP( APIF_Import!$C444, INDIRECT( "Lookup_" &amp; APIF_Import!$O444), VLOOKUP( APIF_Import!$O444 &amp; APIF_Import!$F$1,Podesavanja!$AA$3:$AD$28, 4, 0), 0))</f>
        <v>852030</v>
      </c>
      <c r="G444" s="230">
        <f ca="1">IF( ISNA( VLOOKUP( APIF_Import!$O444 &amp; APIF_Import!$G$1,Podesavanja!$AA$3:$AD$28, 4, 0)), "", VLOOKUP( APIF_Import!$C444, INDIRECT( "Lookup_" &amp; APIF_Import!$O444), VLOOKUP( APIF_Import!$O444 &amp; APIF_Import!$G$1,Podesavanja!$AA$3:$AD$28, 4, 0), 0))</f>
        <v>0</v>
      </c>
      <c r="H444" s="230">
        <f ca="1">IF( ISNA( VLOOKUP( APIF_Import!$O444 &amp; APIF_Import!$H$1,Podesavanja!$AA$3:$AD$28, 4, 0)), "", VLOOKUP( APIF_Import!$C444, INDIRECT( "Lookup_" &amp; APIF_Import!$O444), VLOOKUP( APIF_Import!$O444 &amp; APIF_Import!$H$1,Podesavanja!$AA$3:$AD$28, 4, 0), 0))</f>
        <v>0</v>
      </c>
      <c r="I444" s="230">
        <f ca="1">IF( ISNA( VLOOKUP( APIF_Import!$O444 &amp; APIF_Import!$I$1,Podesavanja!$AA$3:$AD$28, 4, 0)), "", VLOOKUP( APIF_Import!$C444, INDIRECT( "Lookup_" &amp; APIF_Import!$O444), VLOOKUP( APIF_Import!$O444 &amp; APIF_Import!$I$1,Podesavanja!$AA$3:$AD$28, 4, 0), 0))</f>
        <v>0</v>
      </c>
      <c r="J444" s="230">
        <f ca="1">IF( ISNA( VLOOKUP( APIF_Import!$O444 &amp; APIF_Import!$J$1,Podesavanja!$AA$3:$AD$28, 4, 0)), "", VLOOKUP( APIF_Import!$C444, INDIRECT( "Lookup_" &amp; APIF_Import!$O444), VLOOKUP( APIF_Import!$O444 &amp; APIF_Import!$J$1,Podesavanja!$AA$3:$AD$28, 4, 0), 0))</f>
        <v>0</v>
      </c>
      <c r="K444" s="230">
        <f ca="1">IF( ISNA( VLOOKUP( APIF_Import!$O444 &amp; APIF_Import!$K$1,Podesavanja!$AA$3:$AD$28, 4, 0)), "", VLOOKUP( APIF_Import!$C444, INDIRECT( "Lookup_" &amp; APIF_Import!$O444), VLOOKUP( APIF_Import!$O444 &amp; APIF_Import!$K$1,Podesavanja!$AA$3:$AD$28, 4, 0), 0))</f>
        <v>852030</v>
      </c>
      <c r="L444" s="230">
        <f ca="1">IF( ISNA( VLOOKUP( APIF_Import!$O444 &amp; APIF_Import!$L$1,Podesavanja!$AA$3:$AD$28, 4, 0)), "", VLOOKUP( APIF_Import!$C444, INDIRECT( "Lookup_" &amp; APIF_Import!$O444), VLOOKUP( APIF_Import!$O444 &amp; APIF_Import!$L$1,Podesavanja!$AA$3:$AD$28, 4, 0), 0))</f>
        <v>0</v>
      </c>
      <c r="M444" s="230">
        <f ca="1">IF( ISNA( VLOOKUP( APIF_Import!$O444 &amp; APIF_Import!$M$1,Podesavanja!$AA$3:$AD$28, 4, 0)), "", VLOOKUP( APIF_Import!$C444, INDIRECT( "Lookup_" &amp; APIF_Import!$O444), VLOOKUP( APIF_Import!$O444 &amp; APIF_Import!$M$1,Podesavanja!$AA$3:$AD$28, 4, 0), 0))</f>
        <v>852030</v>
      </c>
      <c r="N444" s="8">
        <v>453</v>
      </c>
      <c r="O444" s="253" t="s">
        <v>1539</v>
      </c>
    </row>
    <row r="445" spans="2:15">
      <c r="B445" s="497">
        <f ca="1">VLOOKUP( APIF_Import!$O445, Podesavanja!$N$3:$Q$9, 4, 0)</f>
        <v>6</v>
      </c>
      <c r="C445" s="258">
        <f ca="1">VLOOKUP( APIF_Import!$N445, Aop!$A$2:$P$456, 4, 0)</f>
        <v>925</v>
      </c>
      <c r="D445" s="259" t="str">
        <f ca="1">IF( ISNA( VLOOKUP( APIF_Import!$O445 &amp; APIF_Import!$D$1,Podesavanja!$AA$3:$AD$28, 4, 0)), "", SUBSTITUTE( VALUE( VLOOKUP( APIF_Import!$C445, INDIRECT( "Lookup_" &amp; APIF_Import!$O445), VLOOKUP( APIF_Import!$O445 &amp; APIF_Import!$D$1,Podesavanja!$AA$3:$AD$28, 4, 0), 0)), ".", ","))</f>
        <v>50777428</v>
      </c>
      <c r="E445" s="259">
        <f ca="1">IF( ISNA( VLOOKUP( APIF_Import!$O445 &amp; APIF_Import!$E$1,Podesavanja!$AA$3:$AD$28, 4, 0)), "", VLOOKUP( APIF_Import!$C445, INDIRECT( "Lookup_" &amp; APIF_Import!$O445), VLOOKUP( APIF_Import!$O445 &amp; APIF_Import!$E$1,Podesavanja!$AA$3:$AD$28, 4, 0), 0))</f>
        <v>0</v>
      </c>
      <c r="F445" s="259">
        <f ca="1">IF( ISNA( VLOOKUP( APIF_Import!$O445 &amp; APIF_Import!$F$1,Podesavanja!$AA$3:$AD$28, 4, 0)), "", VLOOKUP( APIF_Import!$C445, INDIRECT( "Lookup_" &amp; APIF_Import!$O445), VLOOKUP( APIF_Import!$O445 &amp; APIF_Import!$F$1,Podesavanja!$AA$3:$AD$28, 4, 0), 0))</f>
        <v>873001</v>
      </c>
      <c r="G445" s="259">
        <f ca="1">IF( ISNA( VLOOKUP( APIF_Import!$O445 &amp; APIF_Import!$G$1,Podesavanja!$AA$3:$AD$28, 4, 0)), "", VLOOKUP( APIF_Import!$C445, INDIRECT( "Lookup_" &amp; APIF_Import!$O445), VLOOKUP( APIF_Import!$O445 &amp; APIF_Import!$G$1,Podesavanja!$AA$3:$AD$28, 4, 0), 0))</f>
        <v>0</v>
      </c>
      <c r="H445" s="259">
        <f ca="1">IF( ISNA( VLOOKUP( APIF_Import!$O445 &amp; APIF_Import!$H$1,Podesavanja!$AA$3:$AD$28, 4, 0)), "", VLOOKUP( APIF_Import!$C445, INDIRECT( "Lookup_" &amp; APIF_Import!$O445), VLOOKUP( APIF_Import!$O445 &amp; APIF_Import!$H$1,Podesavanja!$AA$3:$AD$28, 4, 0), 0))</f>
        <v>0</v>
      </c>
      <c r="I445" s="259">
        <f ca="1">IF( ISNA( VLOOKUP( APIF_Import!$O445 &amp; APIF_Import!$I$1,Podesavanja!$AA$3:$AD$28, 4, 0)), "", VLOOKUP( APIF_Import!$C445, INDIRECT( "Lookup_" &amp; APIF_Import!$O445), VLOOKUP( APIF_Import!$O445 &amp; APIF_Import!$I$1,Podesavanja!$AA$3:$AD$28, 4, 0), 0))</f>
        <v>938788</v>
      </c>
      <c r="J445" s="259">
        <f ca="1">IF( ISNA( VLOOKUP( APIF_Import!$O445 &amp; APIF_Import!$J$1,Podesavanja!$AA$3:$AD$28, 4, 0)), "", VLOOKUP( APIF_Import!$C445, INDIRECT( "Lookup_" &amp; APIF_Import!$O445), VLOOKUP( APIF_Import!$O445 &amp; APIF_Import!$J$1,Podesavanja!$AA$3:$AD$28, 4, 0), 0))</f>
        <v>18856698</v>
      </c>
      <c r="K445" s="259">
        <f ca="1">IF( ISNA( VLOOKUP( APIF_Import!$O445 &amp; APIF_Import!$K$1,Podesavanja!$AA$3:$AD$28, 4, 0)), "", VLOOKUP( APIF_Import!$C445, INDIRECT( "Lookup_" &amp; APIF_Import!$O445), VLOOKUP( APIF_Import!$O445 &amp; APIF_Import!$K$1,Podesavanja!$AA$3:$AD$28, 4, 0), 0))</f>
        <v>71445915</v>
      </c>
      <c r="L445" s="259">
        <f ca="1">IF( ISNA( VLOOKUP( APIF_Import!$O445 &amp; APIF_Import!$L$1,Podesavanja!$AA$3:$AD$28, 4, 0)), "", VLOOKUP( APIF_Import!$C445, INDIRECT( "Lookup_" &amp; APIF_Import!$O445), VLOOKUP( APIF_Import!$O445 &amp; APIF_Import!$L$1,Podesavanja!$AA$3:$AD$28, 4, 0), 0))</f>
        <v>0</v>
      </c>
      <c r="M445" s="259">
        <f ca="1">IF( ISNA( VLOOKUP( APIF_Import!$O445 &amp; APIF_Import!$M$1,Podesavanja!$AA$3:$AD$28, 4, 0)), "", VLOOKUP( APIF_Import!$C445, INDIRECT( "Lookup_" &amp; APIF_Import!$O445), VLOOKUP( APIF_Import!$O445 &amp; APIF_Import!$M$1,Podesavanja!$AA$3:$AD$28, 4, 0), 0))</f>
        <v>71445915</v>
      </c>
      <c r="N445" s="8">
        <v>455</v>
      </c>
      <c r="O445" s="253" t="s">
        <v>1539</v>
      </c>
    </row>
  </sheetData>
  <sheetProtection sheet="1" objects="1" scenarios="1"/>
  <phoneticPr fontId="25" type="noConversion"/>
  <conditionalFormatting sqref="B1:N1 C398:C410 N137 N139 N141 N143 N145 N147 N149 N151 N153 N155 N157 N159 N161 N163 N165 N167 N169 N171 N173 N175 N177 N179 N181 N183 N185 N187 N189 N191 N193 N195 N197 N199 N201 N203 N205 N207 N209 N211 N213 N215 N217 N219 N221 N223 N225 N227 N229 N231 N233 N235 N237 N239 N241 N243 N245 N247 N249 N251 N253 N255 N257 N259 N261 N263 N265 N267 N269 N271 N273 N275 N277 N281 N283 N285 N287 N289 N291 N293 N295 N297 N299 N301 N303 N305 N307 N309 N311 N313 N315 N317 N319 N321 N323 N325 N327 N329 N331 N333 N335 N337 N339 N341 N343 N345 N347 N349 N351 N353 N355 N357 N359 N361 N363 N365 N367 N369 N371 N373 N375 N377 N379 N381 N383 N385 N387 N389 N391 N393 N395 N397 N399 N401 N403 N405 N407 N409 N411 N413 N415 N417 N419 N423 N426 N429 N431 N435 N438 N441 N443 N134:N135 N2:O133 C2:M12 C283:H397 O281:O419 I281:M419 C137:H278 O134:O278 I13:M278 C13:H135 C281:C282 E281:H282">
    <cfRule type="expression" dxfId="19" priority="73">
      <formula>$B2&lt;&gt;$B1</formula>
    </cfRule>
  </conditionalFormatting>
  <conditionalFormatting sqref="D398:H410 B2:B445">
    <cfRule type="expression" dxfId="18" priority="2527">
      <formula>#REF!&lt;&gt;$B2</formula>
    </cfRule>
  </conditionalFormatting>
  <conditionalFormatting sqref="C136:H136 N138 N140 N142 N144 N146 N148 N150 N152 N154 N156 N158 N160 N162 N164 N166 N168 N170 N172 N174 N176 N178 N180 N182 N184 N186 N188 N190 N192 N194 N196 N198 N200 N202 N204 N206 N208 N210 N212 N214 N216 N218 N220 N222 N224 N226 N228 N230 N232 N234 N236 N238 N240 N242 N244 N246 N248 N250 N252 N254 N256 N258 N260 N262 N264 N266 N268 N270 N272 N274 N276 N278 N282 N284 N286 N288 N290 N292 N294 N296 N298 N300 N302 N304 N306 N308 N310 N312 N314 N316 N318 N320 N322 N324 N326 N328 N330 N332 N334 N336 N338 N340 N342 N344 N346 N348 N350 N352 N354 N356 N358 N360 N362 N364 N366 N368 N370 N372 N374 N376 N378 N380 N382 N384 N386 N388 N390 N392 N394 N396 N398 N400 N402 N404 N406 N408 N410 N412 N414 N416 N418 N420:N422 N424:N425 N427:N428 N430 N432:N434 N436:N437 N439:N440 N442 N444:N445 N136">
    <cfRule type="expression" dxfId="17" priority="2589">
      <formula>#REF!&lt;&gt;$B136</formula>
    </cfRule>
  </conditionalFormatting>
  <conditionalFormatting sqref="O420 I420:M420 C279:O280 D281:D282">
    <cfRule type="expression" dxfId="16" priority="2608">
      <formula>#REF!&lt;&gt;$B279</formula>
    </cfRule>
  </conditionalFormatting>
  <pageMargins left="0.7" right="0.7" top="0.75" bottom="0.75" header="0.3" footer="0.3"/>
  <pageSetup paperSize="9" orientation="landscape" verticalDpi="200"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162</vt:i4>
      </vt:variant>
    </vt:vector>
  </HeadingPairs>
  <TitlesOfParts>
    <vt:vector size="176" baseType="lpstr">
      <vt:lpstr>Uputstvo</vt:lpstr>
      <vt:lpstr>Osnovni_podaci</vt:lpstr>
      <vt:lpstr>01</vt:lpstr>
      <vt:lpstr>02a</vt:lpstr>
      <vt:lpstr>02b</vt:lpstr>
      <vt:lpstr>03</vt:lpstr>
      <vt:lpstr>04</vt:lpstr>
      <vt:lpstr>05</vt:lpstr>
      <vt:lpstr>Prevod</vt:lpstr>
      <vt:lpstr>Aop</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lice</vt:lpstr>
      <vt:lpstr>licenca</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milan.grahovac</dc:creator>
  <cp:keywords>V2.86</cp:keywords>
  <dc:description>SG RS 62/16_x000d_
SG RS 63/16</dc:description>
  <cp:lastModifiedBy>PC</cp:lastModifiedBy>
  <cp:lastPrinted>2022-07-28T07:05:27Z</cp:lastPrinted>
  <dcterms:created xsi:type="dcterms:W3CDTF">2007-02-19T09:55:19Z</dcterms:created>
  <dcterms:modified xsi:type="dcterms:W3CDTF">2022-08-03T07:22:02Z</dcterms:modified>
</cp:coreProperties>
</file>